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4880" yWindow="1620" windowWidth="19420" windowHeight="11020" firstSheet="1" activeTab="7"/>
  </bookViews>
  <sheets>
    <sheet name="settaggi trebbia" sheetId="1" r:id="rId1"/>
    <sheet name="tempi" sheetId="2" r:id="rId2"/>
    <sheet name="costi campo 2" sheetId="5" r:id="rId3"/>
    <sheet name="plot biomassa" sheetId="3" r:id="rId4"/>
    <sheet name="umidità" sheetId="4" r:id="rId5"/>
    <sheet name="tabelle Informatore agrario" sheetId="6" r:id="rId6"/>
    <sheet name="Foglio1" sheetId="7" r:id="rId7"/>
    <sheet name="tabelle per IF" sheetId="8" r:id="rId8"/>
  </sheets>
  <externalReferences>
    <externalReference r:id="rId9"/>
    <externalReference r:id="rId10"/>
  </externalReferences>
  <definedNames>
    <definedName name="altezza_andana">[1]Caratteriz.Andane!$B$9:$Q$9</definedName>
    <definedName name="Baling" localSheetId="2">#REF!</definedName>
    <definedName name="Baling">#REF!</definedName>
    <definedName name="db" localSheetId="2">#REF!</definedName>
    <definedName name="db">#REF!</definedName>
    <definedName name="ddd" localSheetId="2">#REF!</definedName>
    <definedName name="ddd">#REF!</definedName>
    <definedName name="Diametro_potature__mm">[1]Caratteriz.Andane!$B$11:$V$11</definedName>
    <definedName name="Distanza_interfila__mm">[1]Caratteriz.Andane!$B$6:$G$6</definedName>
    <definedName name="Distanza_sulla_fila">[1]Caratteriz.Andane!$B$5:$AA$5</definedName>
    <definedName name="larghezza_andana__cm">[1]Caratteriz.Andane!$B$10:$Q$10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" i="2"/>
  <c r="C38"/>
  <c r="B33"/>
  <c r="H5" i="8"/>
  <c r="I12"/>
  <c r="D20"/>
  <c r="C20"/>
  <c r="D18" i="4"/>
  <c r="D19"/>
  <c r="D20"/>
  <c r="D21"/>
  <c r="D22"/>
  <c r="D17"/>
  <c r="G13" i="1"/>
  <c r="O26" i="8"/>
  <c r="O25"/>
  <c r="O24"/>
  <c r="O23"/>
  <c r="O21"/>
  <c r="O22"/>
  <c r="O20"/>
  <c r="O19"/>
  <c r="O18"/>
  <c r="O17"/>
  <c r="O16"/>
  <c r="O15"/>
  <c r="O14"/>
  <c r="O13"/>
  <c r="O12"/>
  <c r="O11"/>
  <c r="O10"/>
  <c r="O9"/>
  <c r="O8"/>
  <c r="O7"/>
  <c r="O6"/>
  <c r="O5"/>
  <c r="O4"/>
  <c r="O3"/>
  <c r="S82" i="3" l="1"/>
  <c r="I14" i="8"/>
  <c r="H14"/>
  <c r="G14" i="1"/>
  <c r="G15"/>
  <c r="G16"/>
  <c r="G17"/>
  <c r="F17"/>
  <c r="F14"/>
  <c r="F15"/>
  <c r="F16"/>
  <c r="F13"/>
  <c r="E14"/>
  <c r="E15"/>
  <c r="E16"/>
  <c r="E17"/>
  <c r="E13"/>
  <c r="I35" i="8"/>
  <c r="H35"/>
  <c r="I33"/>
  <c r="H33"/>
  <c r="H37" s="1"/>
  <c r="D19"/>
  <c r="C19"/>
  <c r="S86" i="3"/>
  <c r="S83"/>
  <c r="S84"/>
  <c r="S85"/>
  <c r="D17" i="8"/>
  <c r="C17"/>
  <c r="Q83" i="3"/>
  <c r="Q84"/>
  <c r="Q85"/>
  <c r="Q86"/>
  <c r="Q82"/>
  <c r="H21" i="8"/>
  <c r="I21"/>
  <c r="H19"/>
  <c r="I19"/>
  <c r="H20"/>
  <c r="I20"/>
  <c r="I18"/>
  <c r="H18"/>
  <c r="H13"/>
  <c r="I13" s="1"/>
  <c r="I40" i="5"/>
  <c r="D22" i="8"/>
  <c r="C22"/>
  <c r="D21"/>
  <c r="C21"/>
  <c r="D18"/>
  <c r="C18"/>
  <c r="X4" i="3"/>
  <c r="D16" i="8"/>
  <c r="C16"/>
  <c r="D15"/>
  <c r="C15"/>
  <c r="O86" i="3"/>
  <c r="O85"/>
  <c r="O84"/>
  <c r="O83"/>
  <c r="O82"/>
  <c r="Q12"/>
  <c r="D14" i="8"/>
  <c r="C14"/>
  <c r="D13"/>
  <c r="C13"/>
  <c r="D12"/>
  <c r="C12"/>
  <c r="D11"/>
  <c r="C11"/>
  <c r="B1" i="6"/>
  <c r="H38" i="8" l="1"/>
  <c r="I36"/>
  <c r="H36"/>
  <c r="I34"/>
  <c r="H34"/>
  <c r="L23" i="6"/>
  <c r="M23"/>
  <c r="AC14" i="3" l="1"/>
  <c r="AH14"/>
  <c r="K10"/>
  <c r="H8" i="6"/>
  <c r="Y11" i="3"/>
  <c r="AJ14"/>
  <c r="AJ5"/>
  <c r="AJ6"/>
  <c r="AJ4"/>
  <c r="AC13"/>
  <c r="AC12"/>
  <c r="AC11"/>
  <c r="AC10"/>
  <c r="AC9"/>
  <c r="AC8"/>
  <c r="AC7"/>
  <c r="AC6"/>
  <c r="AC5"/>
  <c r="AC4"/>
  <c r="AH5"/>
  <c r="AH6"/>
  <c r="AH4"/>
  <c r="AF5"/>
  <c r="AF6"/>
  <c r="AF7"/>
  <c r="AF8"/>
  <c r="AF14" s="1"/>
  <c r="AK14" s="1"/>
  <c r="AL14" s="1"/>
  <c r="AF9"/>
  <c r="AF10"/>
  <c r="AF11"/>
  <c r="AF12"/>
  <c r="AF13"/>
  <c r="AF4"/>
  <c r="AE14"/>
  <c r="AE5"/>
  <c r="AE6"/>
  <c r="AE7"/>
  <c r="AE8"/>
  <c r="AE9"/>
  <c r="AE10"/>
  <c r="AE11"/>
  <c r="AE12"/>
  <c r="AE13"/>
  <c r="AE4"/>
  <c r="AI14"/>
  <c r="AD14"/>
  <c r="X12" l="1"/>
  <c r="L8"/>
  <c r="Q24"/>
  <c r="P24"/>
  <c r="X11"/>
  <c r="X10"/>
  <c r="X5"/>
  <c r="X6"/>
  <c r="X7"/>
  <c r="X8"/>
  <c r="X9"/>
  <c r="W4"/>
  <c r="Q4" l="1"/>
  <c r="T9"/>
  <c r="T8"/>
  <c r="T7"/>
  <c r="T6"/>
  <c r="T5"/>
  <c r="S4"/>
  <c r="S5"/>
  <c r="S6"/>
  <c r="S7"/>
  <c r="S8"/>
  <c r="S9"/>
  <c r="R4"/>
  <c r="U4" s="1"/>
  <c r="D44"/>
  <c r="E44"/>
  <c r="F44"/>
  <c r="D45"/>
  <c r="E45"/>
  <c r="F45"/>
  <c r="C45"/>
  <c r="C44"/>
  <c r="G18"/>
  <c r="T4" s="1"/>
  <c r="R8"/>
  <c r="U8" s="1"/>
  <c r="R9"/>
  <c r="U9" s="1"/>
  <c r="R7"/>
  <c r="U7" s="1"/>
  <c r="R6"/>
  <c r="U6" s="1"/>
  <c r="R5"/>
  <c r="U5" s="1"/>
  <c r="Q9" l="1"/>
  <c r="Q8"/>
  <c r="Q7"/>
  <c r="Q6"/>
  <c r="Q5"/>
  <c r="P5"/>
  <c r="P6"/>
  <c r="P7"/>
  <c r="P8"/>
  <c r="P9"/>
  <c r="P4"/>
  <c r="W75"/>
  <c r="U75"/>
  <c r="T75"/>
  <c r="W74"/>
  <c r="U74"/>
  <c r="T74"/>
  <c r="J74"/>
  <c r="J75"/>
  <c r="K75"/>
  <c r="K74"/>
  <c r="N75"/>
  <c r="N74"/>
  <c r="F78"/>
  <c r="F77"/>
  <c r="W45"/>
  <c r="W44"/>
  <c r="N45"/>
  <c r="N44"/>
  <c r="D78"/>
  <c r="C78"/>
  <c r="D77"/>
  <c r="C77"/>
  <c r="J44"/>
  <c r="U44"/>
  <c r="T44"/>
  <c r="U45"/>
  <c r="T45"/>
  <c r="K45"/>
  <c r="J45"/>
  <c r="K44"/>
  <c r="L4"/>
  <c r="K4" l="1"/>
  <c r="K6" s="1"/>
  <c r="B2" i="6" l="1"/>
  <c r="D27" i="5"/>
  <c r="D28" s="1"/>
  <c r="D16"/>
  <c r="D18" s="1"/>
  <c r="D2"/>
  <c r="D32"/>
  <c r="D30"/>
  <c r="D31" s="1"/>
  <c r="D24"/>
  <c r="D9"/>
  <c r="D5"/>
  <c r="D25" l="1"/>
  <c r="D33" s="1"/>
  <c r="D19"/>
  <c r="D20" s="1"/>
  <c r="D7"/>
  <c r="D8" s="1"/>
  <c r="D15" l="1"/>
  <c r="D14"/>
  <c r="D21" l="1"/>
  <c r="D22"/>
  <c r="D35" s="1"/>
  <c r="H26" i="8" s="1"/>
  <c r="D34" i="5"/>
  <c r="B18" i="6" l="1"/>
  <c r="D3" i="4" l="1"/>
  <c r="D4"/>
  <c r="D5"/>
  <c r="D6"/>
  <c r="D7"/>
  <c r="D8"/>
  <c r="D9"/>
  <c r="D10"/>
  <c r="D11"/>
  <c r="D12"/>
  <c r="D13"/>
  <c r="D2"/>
  <c r="I5" i="2"/>
  <c r="I7"/>
  <c r="I11"/>
  <c r="I13"/>
  <c r="I17"/>
  <c r="I19"/>
  <c r="I23"/>
  <c r="I2"/>
  <c r="H3"/>
  <c r="I3" s="1"/>
  <c r="H4"/>
  <c r="I4" s="1"/>
  <c r="H5"/>
  <c r="H6"/>
  <c r="I6" s="1"/>
  <c r="H7"/>
  <c r="H8"/>
  <c r="I8" s="1"/>
  <c r="H9"/>
  <c r="I9" s="1"/>
  <c r="H10"/>
  <c r="I10" s="1"/>
  <c r="H11"/>
  <c r="H12"/>
  <c r="I12" s="1"/>
  <c r="H13"/>
  <c r="H14"/>
  <c r="I14" s="1"/>
  <c r="H15"/>
  <c r="I15" s="1"/>
  <c r="H16"/>
  <c r="I16" s="1"/>
  <c r="H17"/>
  <c r="H18"/>
  <c r="I18" s="1"/>
  <c r="H19"/>
  <c r="H20"/>
  <c r="I20" s="1"/>
  <c r="H21"/>
  <c r="I21" s="1"/>
  <c r="H22"/>
  <c r="I22" s="1"/>
  <c r="H23"/>
  <c r="H24"/>
  <c r="I24" s="1"/>
  <c r="H2"/>
  <c r="C34" l="1"/>
  <c r="B34"/>
  <c r="B13" i="6" s="1"/>
  <c r="C35" i="2"/>
  <c r="B35"/>
  <c r="B14" i="6" s="1"/>
  <c r="C16" i="2"/>
  <c r="J16" s="1"/>
  <c r="C17"/>
  <c r="J17" s="1"/>
  <c r="C18"/>
  <c r="J18" s="1"/>
  <c r="C19"/>
  <c r="J19" s="1"/>
  <c r="C20"/>
  <c r="J20" s="1"/>
  <c r="C21"/>
  <c r="J21" s="1"/>
  <c r="C22"/>
  <c r="J22" s="1"/>
  <c r="C23"/>
  <c r="J23" s="1"/>
  <c r="C24"/>
  <c r="J24" s="1"/>
  <c r="C15"/>
  <c r="J15" s="1"/>
  <c r="C3"/>
  <c r="J3" s="1"/>
  <c r="C4"/>
  <c r="J4" s="1"/>
  <c r="C5"/>
  <c r="J5" s="1"/>
  <c r="C6"/>
  <c r="J6" s="1"/>
  <c r="C7"/>
  <c r="J7" s="1"/>
  <c r="C8"/>
  <c r="J8" s="1"/>
  <c r="C9"/>
  <c r="J9" s="1"/>
  <c r="C10"/>
  <c r="J10" s="1"/>
  <c r="C11"/>
  <c r="J11" s="1"/>
  <c r="C12"/>
  <c r="J12" s="1"/>
  <c r="C13"/>
  <c r="J13" s="1"/>
  <c r="C14"/>
  <c r="J14" s="1"/>
  <c r="C2"/>
  <c r="J2" s="1"/>
  <c r="L17" l="1"/>
  <c r="K17"/>
  <c r="L6"/>
  <c r="K6"/>
  <c r="L22"/>
  <c r="K22"/>
  <c r="L16"/>
  <c r="K16"/>
  <c r="L12"/>
  <c r="K12"/>
  <c r="L23"/>
  <c r="K23"/>
  <c r="L5"/>
  <c r="K5"/>
  <c r="L4"/>
  <c r="K4"/>
  <c r="L21"/>
  <c r="K21"/>
  <c r="L9"/>
  <c r="K9"/>
  <c r="L20"/>
  <c r="K20"/>
  <c r="L8"/>
  <c r="K8"/>
  <c r="L15"/>
  <c r="K15"/>
  <c r="L19"/>
  <c r="K19"/>
  <c r="L11"/>
  <c r="K11"/>
  <c r="L10"/>
  <c r="K10"/>
  <c r="K2"/>
  <c r="C36"/>
  <c r="B36"/>
  <c r="L3"/>
  <c r="K3"/>
  <c r="L14"/>
  <c r="K14"/>
  <c r="L13"/>
  <c r="K13"/>
  <c r="L7"/>
  <c r="K7"/>
  <c r="L24"/>
  <c r="K24"/>
  <c r="L18"/>
  <c r="K18"/>
  <c r="B38" l="1"/>
  <c r="H22" i="8" s="1"/>
  <c r="D36" i="5"/>
  <c r="D38" s="1"/>
  <c r="H27" i="8" s="1"/>
  <c r="B15" i="6"/>
  <c r="C37" i="2"/>
  <c r="B37"/>
  <c r="B16" i="6" s="1"/>
  <c r="I22" i="8"/>
  <c r="B17" i="6" l="1"/>
  <c r="D37" i="5"/>
  <c r="D39"/>
  <c r="B19" i="6"/>
  <c r="B20" l="1"/>
  <c r="H28" i="8"/>
</calcChain>
</file>

<file path=xl/sharedStrings.xml><?xml version="1.0" encoding="utf-8"?>
<sst xmlns="http://schemas.openxmlformats.org/spreadsheetml/2006/main" count="494" uniqueCount="310">
  <si>
    <t>1° settaggio</t>
  </si>
  <si>
    <t>Modello Trebbia</t>
  </si>
  <si>
    <t>FiatAgri L624</t>
  </si>
  <si>
    <t>Dist. Battitore-Controbbattitore (cm)</t>
  </si>
  <si>
    <t>Battitore (rpm)</t>
  </si>
  <si>
    <t>Ventola (rpm)</t>
  </si>
  <si>
    <t>Crivello Superiore (mm)</t>
  </si>
  <si>
    <t>Crivello Inferiore (mm)</t>
  </si>
  <si>
    <t>Prezzo (€)</t>
  </si>
  <si>
    <t>Consumi (L/h)</t>
  </si>
  <si>
    <t>Vel. Avanzamento (km/h)</t>
  </si>
  <si>
    <t>5-6</t>
  </si>
  <si>
    <t>2° settaggio</t>
  </si>
  <si>
    <t>Larghezza barra (m)</t>
  </si>
  <si>
    <t>Plot</t>
  </si>
  <si>
    <r>
      <t>Dimensione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</si>
  <si>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TE (s)</t>
  </si>
  <si>
    <t>TV (s)</t>
  </si>
  <si>
    <t>TS (s)</t>
  </si>
  <si>
    <t>L (m)</t>
  </si>
  <si>
    <t>TT (s)</t>
  </si>
  <si>
    <t>V avanzamento (km/h)</t>
  </si>
  <si>
    <t>TFC (ha/h)</t>
  </si>
  <si>
    <t>PLOT 2</t>
  </si>
  <si>
    <t>3x3 m</t>
  </si>
  <si>
    <t>Pianta</t>
  </si>
  <si>
    <t>N capolini</t>
  </si>
  <si>
    <t>H (cm)</t>
  </si>
  <si>
    <t>biomassa piante (kg)</t>
  </si>
  <si>
    <t>Hinf (cm)</t>
  </si>
  <si>
    <t>PLOT 3</t>
  </si>
  <si>
    <t>PLOT 4</t>
  </si>
  <si>
    <t>PLOT 5</t>
  </si>
  <si>
    <t>PLOT 6</t>
  </si>
  <si>
    <t>N</t>
  </si>
  <si>
    <t>PNF (g)</t>
  </si>
  <si>
    <t>PNS (g)</t>
  </si>
  <si>
    <t>Ur (%)</t>
  </si>
  <si>
    <t>FO</t>
  </si>
  <si>
    <t>foglie</t>
  </si>
  <si>
    <t>gambo</t>
  </si>
  <si>
    <t>GA</t>
  </si>
  <si>
    <t>P1FO</t>
  </si>
  <si>
    <t>P1GA</t>
  </si>
  <si>
    <t>P2FO</t>
  </si>
  <si>
    <t>P2GA</t>
  </si>
  <si>
    <t>P3FO</t>
  </si>
  <si>
    <t>P3GA</t>
  </si>
  <si>
    <t>P4FO</t>
  </si>
  <si>
    <t>P4GA</t>
  </si>
  <si>
    <t>P5FO</t>
  </si>
  <si>
    <t>P5GA</t>
  </si>
  <si>
    <t>P6FO</t>
  </si>
  <si>
    <t>P6GA</t>
  </si>
  <si>
    <t>BD</t>
  </si>
  <si>
    <t>P (kg)</t>
  </si>
  <si>
    <t>H taglio (cm)</t>
  </si>
  <si>
    <t>scarico</t>
  </si>
  <si>
    <t>uscita campo (s)</t>
  </si>
  <si>
    <t>scarico (s)</t>
  </si>
  <si>
    <t>EFC (ha/h)</t>
  </si>
  <si>
    <t>FE (%)</t>
  </si>
  <si>
    <t>MC (t/h)</t>
  </si>
  <si>
    <t>resa (t/ha)</t>
  </si>
  <si>
    <t>Parametro</t>
  </si>
  <si>
    <t>Media</t>
  </si>
  <si>
    <t>Dev.St</t>
  </si>
  <si>
    <t>Velocità (km/h)</t>
  </si>
  <si>
    <t>Costo di acquisto (A)</t>
  </si>
  <si>
    <t>€</t>
  </si>
  <si>
    <t>power (kW)</t>
  </si>
  <si>
    <t>Vita utile (N)</t>
  </si>
  <si>
    <t>year</t>
  </si>
  <si>
    <t>eff</t>
  </si>
  <si>
    <t>h</t>
  </si>
  <si>
    <t xml:space="preserve">inflazione </t>
  </si>
  <si>
    <t>(1+i)^n</t>
  </si>
  <si>
    <t>Valore residuo (v)</t>
  </si>
  <si>
    <t>vedi asae standard</t>
  </si>
  <si>
    <t>%</t>
  </si>
  <si>
    <t>formula valore macchina nuova a partire da usato</t>
  </si>
  <si>
    <t>Vi=Vf/(a*b^n)</t>
  </si>
  <si>
    <t>Svalutazione (A-v)</t>
  </si>
  <si>
    <t>Utilizzo annuo (Ul)</t>
  </si>
  <si>
    <t>h/year</t>
  </si>
  <si>
    <t>Tasso di interesse (r)</t>
  </si>
  <si>
    <t>Salario orario</t>
  </si>
  <si>
    <t>€/h</t>
  </si>
  <si>
    <t>n. di lavoratori</t>
  </si>
  <si>
    <t>n°</t>
  </si>
  <si>
    <t>Costi fissi</t>
  </si>
  <si>
    <t>Quota annua di Reintegra (Qr)</t>
  </si>
  <si>
    <t>(V0-Vr)/n</t>
  </si>
  <si>
    <t>€/y</t>
  </si>
  <si>
    <t>Interessi (Qi)</t>
  </si>
  <si>
    <t>media(V0;Vr)*r</t>
  </si>
  <si>
    <t>Ingombro</t>
  </si>
  <si>
    <r>
      <t>m</t>
    </r>
    <r>
      <rPr>
        <vertAlign val="superscript"/>
        <sz val="10"/>
        <rFont val="Palatino Linotype"/>
        <family val="1"/>
      </rPr>
      <t>2</t>
    </r>
  </si>
  <si>
    <t>Valore ingombro</t>
  </si>
  <si>
    <t>€/m2</t>
  </si>
  <si>
    <t>Ricovero</t>
  </si>
  <si>
    <t>Assicurazione</t>
  </si>
  <si>
    <t>Spese varie (Qv)</t>
  </si>
  <si>
    <t>Totale costi fissi annui (Qfa)</t>
  </si>
  <si>
    <t>Qr+Qi+Qv</t>
  </si>
  <si>
    <t>Totale costi fissi</t>
  </si>
  <si>
    <t>Qfa/Ui</t>
  </si>
  <si>
    <t>Costi variabili</t>
  </si>
  <si>
    <t>Coeffeciente di riparazione</t>
  </si>
  <si>
    <t>Riparazioni e manutenzioni (qrm)</t>
  </si>
  <si>
    <t>Costo carburante</t>
  </si>
  <si>
    <t>€/lt</t>
  </si>
  <si>
    <t>Consumo carburante misurato</t>
  </si>
  <si>
    <t>lt/h</t>
  </si>
  <si>
    <t>Consumo carburante (qc)</t>
  </si>
  <si>
    <t>Costo lubrificanti</t>
  </si>
  <si>
    <t>€/l</t>
  </si>
  <si>
    <t>Consumo lubrificanti</t>
  </si>
  <si>
    <t>Costo lavoratori (qo)</t>
  </si>
  <si>
    <t>Totale costi variabili (qu)</t>
  </si>
  <si>
    <t>Costi totali annuali</t>
  </si>
  <si>
    <t>Ui*qu+Qfa</t>
  </si>
  <si>
    <t>Costi totali orari</t>
  </si>
  <si>
    <t>Capacità di lavoro operativa</t>
  </si>
  <si>
    <t>ha/h</t>
  </si>
  <si>
    <t>Produzione oraria operativa seme</t>
  </si>
  <si>
    <t>tseme/h</t>
  </si>
  <si>
    <t>Costi per ettaro</t>
  </si>
  <si>
    <t>€/ha</t>
  </si>
  <si>
    <t>Costo per tseme</t>
  </si>
  <si>
    <t>€/Mg</t>
  </si>
  <si>
    <r>
      <t>seed yield (Mg</t>
    </r>
    <r>
      <rPr>
        <vertAlign val="subscript"/>
        <sz val="10"/>
        <color theme="1"/>
        <rFont val="Palatino Linotype"/>
        <family val="1"/>
      </rPr>
      <t>fm</t>
    </r>
    <r>
      <rPr>
        <sz val="10"/>
        <color theme="1"/>
        <rFont val="Palatino Linotype"/>
        <family val="1"/>
      </rPr>
      <t>/ha)</t>
    </r>
  </si>
  <si>
    <t>Biomassa (t/ha)</t>
  </si>
  <si>
    <t>Resa in seme (t/ha)</t>
  </si>
  <si>
    <t>Dist. Battitore-Controbbattitore (mm)</t>
  </si>
  <si>
    <t>Velocità Battitore (rpm)</t>
  </si>
  <si>
    <t>Velocità Ventola (rpm)</t>
  </si>
  <si>
    <t>Capacità di Lavoro Teorica (ha/h)</t>
  </si>
  <si>
    <t>Efficienza di lavoro (%)</t>
  </si>
  <si>
    <t>Produttività oraria (t/h)</t>
  </si>
  <si>
    <t>€/t</t>
  </si>
  <si>
    <t>Capacità di Lavoro Effettiva (ha/h)</t>
  </si>
  <si>
    <t>media</t>
  </si>
  <si>
    <t xml:space="preserve">media </t>
  </si>
  <si>
    <t>DS</t>
  </si>
  <si>
    <t>superficie (mq)</t>
  </si>
  <si>
    <t>Numero piante plot (n)</t>
  </si>
  <si>
    <t>n piante ha (n/ha)</t>
  </si>
  <si>
    <t>Dev.Std</t>
  </si>
  <si>
    <t>Plot 1</t>
  </si>
  <si>
    <t>Plot 2</t>
  </si>
  <si>
    <t>Plot 3</t>
  </si>
  <si>
    <t>Plot 4</t>
  </si>
  <si>
    <t>Plot 5</t>
  </si>
  <si>
    <t>Plot 6</t>
  </si>
  <si>
    <t>n piante</t>
  </si>
  <si>
    <t>H media</t>
  </si>
  <si>
    <t>n capolini per pianta</t>
  </si>
  <si>
    <t>biomassa fresca</t>
  </si>
  <si>
    <t>Superficie</t>
  </si>
  <si>
    <t>m2</t>
  </si>
  <si>
    <t>n</t>
  </si>
  <si>
    <t>kg</t>
  </si>
  <si>
    <t>cm</t>
  </si>
  <si>
    <t>n piante per plot</t>
  </si>
  <si>
    <t>Quota capolino più basso</t>
  </si>
  <si>
    <t>Peso fresco capolini per plot</t>
  </si>
  <si>
    <t>peso fresco capolini nel sacco</t>
  </si>
  <si>
    <t>peso fresco semi estratti</t>
  </si>
  <si>
    <t>peso secco capolini nel sacco</t>
  </si>
  <si>
    <t>peso secco semi estratti</t>
  </si>
  <si>
    <t>Peso fresco 200 semi</t>
  </si>
  <si>
    <t>Data rilevamento_________________________</t>
  </si>
  <si>
    <t>Peso freso semi plot</t>
  </si>
  <si>
    <t>Prod attesa</t>
  </si>
  <si>
    <r>
      <t>t ha</t>
    </r>
    <r>
      <rPr>
        <vertAlign val="superscript"/>
        <sz val="11"/>
        <color theme="1"/>
        <rFont val="Calibri"/>
        <family val="2"/>
        <scheme val="minor"/>
      </rPr>
      <t>-1</t>
    </r>
  </si>
  <si>
    <t>media senza plot 1</t>
  </si>
  <si>
    <t>perdite</t>
  </si>
  <si>
    <t>Resa effettiva (t)</t>
  </si>
  <si>
    <t>Superficie (ha)</t>
  </si>
  <si>
    <t>Peso 1000 semi</t>
  </si>
  <si>
    <t>g</t>
  </si>
  <si>
    <t>Capolini persi per plot</t>
  </si>
  <si>
    <t>Perdite seme telo</t>
  </si>
  <si>
    <t>Capolini persi per ettaro</t>
  </si>
  <si>
    <t>n ha-1</t>
  </si>
  <si>
    <r>
      <t>n ha</t>
    </r>
    <r>
      <rPr>
        <vertAlign val="superscript"/>
        <sz val="11"/>
        <color theme="1"/>
        <rFont val="Calibri"/>
        <family val="2"/>
        <scheme val="minor"/>
      </rPr>
      <t>-1</t>
    </r>
  </si>
  <si>
    <t>Perdita semi per impatto ad ettaro</t>
  </si>
  <si>
    <t>Contenuto medio di semi per capolino (kg)</t>
  </si>
  <si>
    <r>
      <t>kg ha</t>
    </r>
    <r>
      <rPr>
        <vertAlign val="superscript"/>
        <sz val="11"/>
        <color theme="1"/>
        <rFont val="Calibri"/>
        <family val="2"/>
        <scheme val="minor"/>
      </rPr>
      <t>-1</t>
    </r>
  </si>
  <si>
    <t xml:space="preserve">Perdite seme telo </t>
  </si>
  <si>
    <t>Sup</t>
  </si>
  <si>
    <t>Kg plot</t>
  </si>
  <si>
    <t>Perdite seme tot</t>
  </si>
  <si>
    <t>Sperficie</t>
  </si>
  <si>
    <t>Nominale</t>
  </si>
  <si>
    <t>Effettiva</t>
  </si>
  <si>
    <t>Tare</t>
  </si>
  <si>
    <t>ha</t>
  </si>
  <si>
    <t>superficie netta (ha)</t>
  </si>
  <si>
    <t>t ha-1</t>
  </si>
  <si>
    <t>Numero piante ad ettaro</t>
  </si>
  <si>
    <t>Altezza media della pianta</t>
  </si>
  <si>
    <t>Numero di capolini per pianta</t>
  </si>
  <si>
    <t>Parameter</t>
  </si>
  <si>
    <t>Value</t>
  </si>
  <si>
    <t>settaggi trebbia</t>
  </si>
  <si>
    <t>biomassa</t>
  </si>
  <si>
    <t>St.Dev.</t>
  </si>
  <si>
    <t>Avg.</t>
  </si>
  <si>
    <t>PLOT 1</t>
  </si>
  <si>
    <t>Measure unit</t>
  </si>
  <si>
    <t>Plants per hectare</t>
  </si>
  <si>
    <t>Plants height</t>
  </si>
  <si>
    <t>Capitula per plant</t>
  </si>
  <si>
    <t>Height of the lower capitulum</t>
  </si>
  <si>
    <t>mm</t>
  </si>
  <si>
    <t>rpm</t>
  </si>
  <si>
    <t>Concave clearance</t>
  </si>
  <si>
    <t>Thresher speed</t>
  </si>
  <si>
    <t>Fan speed</t>
  </si>
  <si>
    <t>Upper sieve clearance</t>
  </si>
  <si>
    <t>Lower sieve clearance</t>
  </si>
  <si>
    <r>
      <t>N ha</t>
    </r>
    <r>
      <rPr>
        <vertAlign val="superscript"/>
        <sz val="10"/>
        <color theme="1"/>
        <rFont val="Palatino Linotype"/>
        <family val="1"/>
      </rPr>
      <t>-1</t>
    </r>
  </si>
  <si>
    <t>Seeds per capitulum</t>
  </si>
  <si>
    <t>1000-seeds weight</t>
  </si>
  <si>
    <t>Potential seed yield (PSY)</t>
  </si>
  <si>
    <r>
      <t>Mg ha</t>
    </r>
    <r>
      <rPr>
        <vertAlign val="superscript"/>
        <sz val="10"/>
        <color theme="1"/>
        <rFont val="Palatino Linotype"/>
        <family val="1"/>
      </rPr>
      <t>-1</t>
    </r>
  </si>
  <si>
    <t>h pianta</t>
  </si>
  <si>
    <t>capolini per pianta</t>
  </si>
  <si>
    <t>peso semi per capolino</t>
  </si>
  <si>
    <t>Seeds moisture</t>
  </si>
  <si>
    <t>Leaves moisture</t>
  </si>
  <si>
    <t>Stalk moisture</t>
  </si>
  <si>
    <t>superfici</t>
  </si>
  <si>
    <t>Nominal surface (NS)</t>
  </si>
  <si>
    <t>Sown surface (SS)</t>
  </si>
  <si>
    <t>Effectively grown surface (EGS)</t>
  </si>
  <si>
    <t>seme raccolto</t>
  </si>
  <si>
    <t>Reference surface</t>
  </si>
  <si>
    <t>Overall seed yield (OSY)</t>
  </si>
  <si>
    <t>Mg</t>
  </si>
  <si>
    <t>Effective seed yield (ESY)</t>
  </si>
  <si>
    <t>Seed yield on effectively grown surface (GSY)</t>
  </si>
  <si>
    <t>-</t>
  </si>
  <si>
    <t>produttività</t>
  </si>
  <si>
    <t>Working speed</t>
  </si>
  <si>
    <t>Theoretical Field Capacity (TFC)</t>
  </si>
  <si>
    <t>Effective Field Capacity (EFC)</t>
  </si>
  <si>
    <t>Material Capacity (MC)</t>
  </si>
  <si>
    <t>Field Efficiency (FE)</t>
  </si>
  <si>
    <r>
      <t>km h</t>
    </r>
    <r>
      <rPr>
        <vertAlign val="superscript"/>
        <sz val="10"/>
        <color theme="1"/>
        <rFont val="Palatino Linotype"/>
        <family val="1"/>
      </rPr>
      <t>-1</t>
    </r>
  </si>
  <si>
    <r>
      <t>ha h</t>
    </r>
    <r>
      <rPr>
        <vertAlign val="superscript"/>
        <sz val="10"/>
        <color theme="1"/>
        <rFont val="Palatino Linotype"/>
        <family val="1"/>
      </rPr>
      <t>-1</t>
    </r>
  </si>
  <si>
    <r>
      <t>Mg h</t>
    </r>
    <r>
      <rPr>
        <vertAlign val="superscript"/>
        <sz val="10"/>
        <color theme="1"/>
        <rFont val="Palatino Linotype"/>
        <family val="1"/>
      </rPr>
      <t>-1</t>
    </r>
  </si>
  <si>
    <t>Biomass</t>
  </si>
  <si>
    <r>
      <t>Mg ha</t>
    </r>
    <r>
      <rPr>
        <vertAlign val="superscript"/>
        <sz val="10"/>
        <color theme="1"/>
        <rFont val="Palatino Linotype"/>
        <family val="1"/>
      </rPr>
      <t xml:space="preserve">-1 </t>
    </r>
    <r>
      <rPr>
        <sz val="10"/>
        <color theme="1"/>
        <rFont val="Palatino Linotype"/>
        <family val="1"/>
      </rPr>
      <t>FM</t>
    </r>
  </si>
  <si>
    <t>g FM</t>
  </si>
  <si>
    <t>H-index</t>
  </si>
  <si>
    <t>costi</t>
  </si>
  <si>
    <t>Costs per time unit</t>
  </si>
  <si>
    <t>Cost per surface unit</t>
  </si>
  <si>
    <t>Costs per biomass unit</t>
  </si>
  <si>
    <r>
      <t>€ h-</t>
    </r>
    <r>
      <rPr>
        <vertAlign val="superscript"/>
        <sz val="10"/>
        <color theme="1"/>
        <rFont val="Palatino Linotype"/>
        <family val="1"/>
      </rPr>
      <t>1</t>
    </r>
  </si>
  <si>
    <r>
      <t>€ ha</t>
    </r>
    <r>
      <rPr>
        <vertAlign val="superscript"/>
        <sz val="10"/>
        <color theme="1"/>
        <rFont val="Palatino Linotype"/>
        <family val="1"/>
      </rPr>
      <t>-1</t>
    </r>
  </si>
  <si>
    <r>
      <t>€ Mg</t>
    </r>
    <r>
      <rPr>
        <vertAlign val="superscript"/>
        <sz val="10"/>
        <color theme="1"/>
        <rFont val="Palatino Linotype"/>
        <family val="1"/>
      </rPr>
      <t xml:space="preserve">-1 </t>
    </r>
    <r>
      <rPr>
        <sz val="10"/>
        <color theme="1"/>
        <rFont val="Palatino Linotype"/>
        <family val="1"/>
      </rPr>
      <t>FM</t>
    </r>
  </si>
  <si>
    <t>Threshing system seed loss (TSL)</t>
  </si>
  <si>
    <r>
      <t>kg ha</t>
    </r>
    <r>
      <rPr>
        <vertAlign val="superscript"/>
        <sz val="10"/>
        <color theme="1"/>
        <rFont val="Palatino Linotype"/>
        <family val="1"/>
      </rPr>
      <t>-1</t>
    </r>
  </si>
  <si>
    <t>tara (kg)</t>
  </si>
  <si>
    <t>Pn (kg)</t>
  </si>
  <si>
    <t>BD (kg/m3)</t>
  </si>
  <si>
    <t>V cilindro (m3)</t>
  </si>
  <si>
    <t>Bulk density of collected seed</t>
  </si>
  <si>
    <r>
      <t>Mg m</t>
    </r>
    <r>
      <rPr>
        <vertAlign val="superscript"/>
        <sz val="10"/>
        <color theme="1"/>
        <rFont val="Palatino Linotype"/>
        <family val="1"/>
      </rPr>
      <t>-3</t>
    </r>
  </si>
  <si>
    <t>Measure Unit</t>
  </si>
  <si>
    <t>Machine</t>
  </si>
  <si>
    <t>Power</t>
  </si>
  <si>
    <t>kW</t>
  </si>
  <si>
    <t>Financial costs</t>
  </si>
  <si>
    <t>Investment</t>
  </si>
  <si>
    <t>Service life</t>
  </si>
  <si>
    <t>yr</t>
  </si>
  <si>
    <t>Resale</t>
  </si>
  <si>
    <t>Depreciation</t>
  </si>
  <si>
    <t>Annual usage</t>
  </si>
  <si>
    <r>
      <t>h yr</t>
    </r>
    <r>
      <rPr>
        <vertAlign val="superscript"/>
        <sz val="10"/>
        <color theme="1"/>
        <rFont val="Palatino Linotype"/>
        <family val="1"/>
      </rPr>
      <t>-1</t>
    </r>
  </si>
  <si>
    <t>Interest rate</t>
  </si>
  <si>
    <t>Fixed costs</t>
  </si>
  <si>
    <t>Ownership costs</t>
  </si>
  <si>
    <r>
      <t>€ yr</t>
    </r>
    <r>
      <rPr>
        <vertAlign val="superscript"/>
        <sz val="10"/>
        <color theme="1"/>
        <rFont val="Palatino Linotype"/>
        <family val="1"/>
      </rPr>
      <t>-1</t>
    </r>
  </si>
  <si>
    <t>Interests</t>
  </si>
  <si>
    <t>Machine shelter</t>
  </si>
  <si>
    <r>
      <t>m</t>
    </r>
    <r>
      <rPr>
        <vertAlign val="superscript"/>
        <sz val="10"/>
        <color theme="1"/>
        <rFont val="Palatino Linotype"/>
        <family val="1"/>
      </rPr>
      <t>2</t>
    </r>
  </si>
  <si>
    <t>Value of the shelter</t>
  </si>
  <si>
    <r>
      <t>€ m</t>
    </r>
    <r>
      <rPr>
        <vertAlign val="superscript"/>
        <sz val="10"/>
        <color theme="1"/>
        <rFont val="Palatino Linotype"/>
        <family val="1"/>
      </rPr>
      <t>-2</t>
    </r>
  </si>
  <si>
    <t>Insurance</t>
  </si>
  <si>
    <t>Variable costs</t>
  </si>
  <si>
    <t>Repair factor</t>
  </si>
  <si>
    <t>Repairs and maintenance</t>
  </si>
  <si>
    <r>
      <t>€ h</t>
    </r>
    <r>
      <rPr>
        <vertAlign val="superscript"/>
        <sz val="10"/>
        <color theme="1"/>
        <rFont val="Palatino Linotype"/>
        <family val="1"/>
      </rPr>
      <t>-1</t>
    </r>
  </si>
  <si>
    <t>Fuel cost</t>
  </si>
  <si>
    <r>
      <t>€ l</t>
    </r>
    <r>
      <rPr>
        <vertAlign val="superscript"/>
        <sz val="10"/>
        <color theme="1"/>
        <rFont val="Palatino Linotype"/>
        <family val="1"/>
      </rPr>
      <t>-1</t>
    </r>
  </si>
  <si>
    <t>Fuel consumption</t>
  </si>
  <si>
    <r>
      <t>l h</t>
    </r>
    <r>
      <rPr>
        <vertAlign val="superscript"/>
        <sz val="10"/>
        <color theme="1"/>
        <rFont val="Palatino Linotype"/>
        <family val="1"/>
      </rPr>
      <t>-1</t>
    </r>
  </si>
  <si>
    <t>Lubricant cost</t>
  </si>
  <si>
    <t>Lubricant consumption</t>
  </si>
  <si>
    <t>Worker salary</t>
  </si>
  <si>
    <t>parametri per stima costi</t>
  </si>
  <si>
    <t>seme</t>
  </si>
  <si>
    <t>Header seed loss (HESL)</t>
  </si>
  <si>
    <t>Harvesting seed loss (HASL)</t>
  </si>
</sst>
</file>

<file path=xl/styles.xml><?xml version="1.0" encoding="utf-8"?>
<styleSheet xmlns="http://schemas.openxmlformats.org/spreadsheetml/2006/main">
  <numFmts count="5">
    <numFmt numFmtId="164" formatCode="_-&quot;£&quot;* #,##0.00_-;\-&quot;£&quot;* #,##0.00_-;_-&quot;£&quot;* &quot;-&quot;??_-;_-@_-"/>
    <numFmt numFmtId="165" formatCode="_-* #,##0.00_-;\-* #,##0.00_-;_-* &quot;-&quot;??_-;_-@_-"/>
    <numFmt numFmtId="166" formatCode="0.0"/>
    <numFmt numFmtId="167" formatCode="0.0%"/>
    <numFmt numFmtId="168" formatCode="0.000"/>
  </numFmts>
  <fonts count="14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sz val="10"/>
      <name val="Palatino Linotype"/>
      <family val="1"/>
    </font>
    <font>
      <b/>
      <sz val="10"/>
      <name val="Palatino Linotype"/>
      <family val="1"/>
    </font>
    <font>
      <vertAlign val="superscript"/>
      <sz val="10"/>
      <name val="Palatino Linotype"/>
      <family val="1"/>
    </font>
    <font>
      <b/>
      <sz val="10"/>
      <color rgb="FFFF0000"/>
      <name val="Palatino Linotype"/>
      <family val="1"/>
    </font>
    <font>
      <vertAlign val="subscript"/>
      <sz val="10"/>
      <color theme="1"/>
      <name val="Palatino Linotype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vertAlign val="superscript"/>
      <sz val="10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quotePrefix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" fontId="2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4" xfId="0" quotePrefix="1" applyFont="1" applyBorder="1" applyAlignment="1">
      <alignment horizontal="center"/>
    </xf>
    <xf numFmtId="0" fontId="3" fillId="0" borderId="5" xfId="0" quotePrefix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2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166" fontId="8" fillId="0" borderId="8" xfId="0" applyNumberFormat="1" applyFont="1" applyBorder="1" applyAlignment="1">
      <alignment horizontal="center" vertical="center" wrapText="1"/>
    </xf>
    <xf numFmtId="167" fontId="8" fillId="0" borderId="8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/>
    </xf>
    <xf numFmtId="16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 wrapText="1"/>
    </xf>
    <xf numFmtId="165" fontId="1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0" borderId="0" xfId="2" applyFont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right" vertical="center"/>
    </xf>
    <xf numFmtId="2" fontId="0" fillId="0" borderId="0" xfId="3" applyNumberFormat="1" applyFont="1" applyAlignment="1">
      <alignment horizontal="center" vertical="center" wrapText="1"/>
    </xf>
    <xf numFmtId="167" fontId="0" fillId="0" borderId="0" xfId="2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8" fillId="0" borderId="0" xfId="1" applyNumberFormat="1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2" fontId="12" fillId="0" borderId="0" xfId="0" applyNumberFormat="1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10" fontId="2" fillId="0" borderId="8" xfId="0" applyNumberFormat="1" applyFont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</cellXfs>
  <cellStyles count="4">
    <cellStyle name="Migliaia" xfId="1" builtinId="3"/>
    <cellStyle name="Normale" xfId="0" builtinId="0"/>
    <cellStyle name="Percentuale" xfId="2" builtinId="5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FF0000"/>
              </a:solidFill>
              <a:ln>
                <a:solidFill>
                  <a:prstClr val="black"/>
                </a:solidFill>
              </a:ln>
            </c:spPr>
          </c:dPt>
          <c:dPt>
            <c:idx val="2"/>
            <c:spPr>
              <a:solidFill>
                <a:srgbClr val="00B0F0"/>
              </a:solidFill>
              <a:ln>
                <a:solidFill>
                  <a:prstClr val="black"/>
                </a:solidFill>
              </a:ln>
            </c:spPr>
          </c:dPt>
          <c:cat>
            <c:strRef>
              <c:f>'tabelle per IF'!$F$26:$F$28</c:f>
              <c:strCache>
                <c:ptCount val="3"/>
                <c:pt idx="0">
                  <c:v>Costs per time unit</c:v>
                </c:pt>
                <c:pt idx="1">
                  <c:v>Cost per surface unit</c:v>
                </c:pt>
                <c:pt idx="2">
                  <c:v>Costs per biomass unit</c:v>
                </c:pt>
              </c:strCache>
            </c:strRef>
          </c:cat>
          <c:val>
            <c:numRef>
              <c:f>'tabelle per IF'!$H$26:$H$28</c:f>
              <c:numCache>
                <c:formatCode>0.00</c:formatCode>
                <c:ptCount val="3"/>
                <c:pt idx="0">
                  <c:v>142.73837952564102</c:v>
                </c:pt>
                <c:pt idx="1">
                  <c:v>69.521664266138814</c:v>
                </c:pt>
                <c:pt idx="2">
                  <c:v>78.248436989588228</c:v>
                </c:pt>
              </c:numCache>
            </c:numRef>
          </c:val>
        </c:ser>
        <c:axId val="171415040"/>
        <c:axId val="171416576"/>
      </c:barChart>
      <c:catAx>
        <c:axId val="171415040"/>
        <c:scaling>
          <c:orientation val="minMax"/>
        </c:scaling>
        <c:axPos val="b"/>
        <c:tickLblPos val="nextTo"/>
        <c:crossAx val="171416576"/>
        <c:crosses val="autoZero"/>
        <c:auto val="1"/>
        <c:lblAlgn val="ctr"/>
        <c:lblOffset val="100"/>
      </c:catAx>
      <c:valAx>
        <c:axId val="1714165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€</a:t>
                </a:r>
              </a:p>
            </c:rich>
          </c:tx>
          <c:layout/>
        </c:title>
        <c:numFmt formatCode="0.00" sourceLinked="1"/>
        <c:tickLblPos val="nextTo"/>
        <c:crossAx val="171415040"/>
        <c:crosses val="autoZero"/>
        <c:crossBetween val="between"/>
      </c:valAx>
    </c:plotArea>
    <c:plotVisOnly val="1"/>
  </c:chart>
  <c:txPr>
    <a:bodyPr/>
    <a:lstStyle/>
    <a:p>
      <a:pPr>
        <a:defRPr>
          <a:latin typeface="Palatino Linotype" pitchFamily="18" charset="0"/>
        </a:defRPr>
      </a:pPr>
      <a:endParaRPr lang="it-IT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309596</xdr:colOff>
      <xdr:row>6</xdr:row>
      <xdr:rowOff>180975</xdr:rowOff>
    </xdr:from>
    <xdr:to>
      <xdr:col>14</xdr:col>
      <xdr:colOff>163830</xdr:colOff>
      <xdr:row>18</xdr:row>
      <xdr:rowOff>167639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81971" y="1895475"/>
          <a:ext cx="5712109" cy="2291714"/>
        </a:xfrm>
        <a:prstGeom prst="rect">
          <a:avLst/>
        </a:prstGeom>
      </xdr:spPr>
    </xdr:pic>
    <xdr:clientData/>
  </xdr:twoCellAnchor>
  <xdr:twoCellAnchor editAs="oneCell">
    <xdr:from>
      <xdr:col>7</xdr:col>
      <xdr:colOff>161925</xdr:colOff>
      <xdr:row>19</xdr:row>
      <xdr:rowOff>93737</xdr:rowOff>
    </xdr:from>
    <xdr:to>
      <xdr:col>17</xdr:col>
      <xdr:colOff>99484</xdr:colOff>
      <xdr:row>27</xdr:row>
      <xdr:rowOff>532</xdr:rowOff>
    </xdr:to>
    <xdr:pic>
      <xdr:nvPicPr>
        <xdr:cNvPr id="4" name="Immagine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734300" y="4303787"/>
          <a:ext cx="7624234" cy="14307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238124</xdr:colOff>
      <xdr:row>2</xdr:row>
      <xdr:rowOff>200025</xdr:rowOff>
    </xdr:from>
    <xdr:to>
      <xdr:col>13</xdr:col>
      <xdr:colOff>971549</xdr:colOff>
      <xdr:row>9</xdr:row>
      <xdr:rowOff>57150</xdr:rowOff>
    </xdr:to>
    <xdr:sp macro="" textlink="">
      <xdr:nvSpPr>
        <xdr:cNvPr id="2" name="Arrow: Down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9858374" y="962025"/>
          <a:ext cx="733425" cy="12192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t"/>
        <a:lstStyle/>
        <a:p>
          <a:pPr algn="l"/>
          <a:r>
            <a:rPr lang="it-IT" sz="1100"/>
            <a:t>Fertilizzaizone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27</xdr:row>
      <xdr:rowOff>12700</xdr:rowOff>
    </xdr:from>
    <xdr:to>
      <xdr:col>14</xdr:col>
      <xdr:colOff>203200</xdr:colOff>
      <xdr:row>38</xdr:row>
      <xdr:rowOff>133350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ncenzo.alfano/Dropbox/CRA/BIT3G/Sardegna%202015/Cartamo/Dati_produttivi_potature_Prugno_Potsda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luigi_pari_crea_gov_it/Documents/Panacea/PROGETTI/PROGETTI%20EU/4CE-MED/Test/20200701_Harvesting_Spain/test%20camelina%20spagna%20FRANCESC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tsdam_dati produttivi_Prugno"/>
      <sheetName val="Tempi container"/>
      <sheetName val="Caratteriz.Andane"/>
      <sheetName val="Tempi BigBag V3"/>
      <sheetName val="Tempi BigBag VMax"/>
      <sheetName val="Caratteriz.Andane (2)"/>
      <sheetName val="Test_PSD"/>
    </sheetNames>
    <sheetDataSet>
      <sheetData sheetId="0"/>
      <sheetData sheetId="1"/>
      <sheetData sheetId="2">
        <row r="5">
          <cell r="B5">
            <v>285</v>
          </cell>
          <cell r="C5">
            <v>300</v>
          </cell>
          <cell r="D5">
            <v>350</v>
          </cell>
          <cell r="E5">
            <v>310</v>
          </cell>
          <cell r="F5">
            <v>340</v>
          </cell>
          <cell r="G5">
            <v>315</v>
          </cell>
          <cell r="H5">
            <v>345</v>
          </cell>
          <cell r="I5">
            <v>315</v>
          </cell>
          <cell r="J5">
            <v>315</v>
          </cell>
          <cell r="K5">
            <v>315</v>
          </cell>
          <cell r="L5">
            <v>320</v>
          </cell>
          <cell r="M5">
            <v>315</v>
          </cell>
          <cell r="N5">
            <v>330</v>
          </cell>
          <cell r="O5">
            <v>340</v>
          </cell>
          <cell r="P5">
            <v>310</v>
          </cell>
        </row>
        <row r="6">
          <cell r="B6">
            <v>425</v>
          </cell>
          <cell r="C6">
            <v>380</v>
          </cell>
          <cell r="D6">
            <v>400</v>
          </cell>
          <cell r="E6">
            <v>390</v>
          </cell>
          <cell r="F6">
            <v>425</v>
          </cell>
          <cell r="G6">
            <v>400</v>
          </cell>
        </row>
        <row r="9">
          <cell r="B9">
            <v>32</v>
          </cell>
          <cell r="C9">
            <v>40</v>
          </cell>
          <cell r="D9">
            <v>55</v>
          </cell>
          <cell r="E9">
            <v>48</v>
          </cell>
          <cell r="F9">
            <v>50</v>
          </cell>
          <cell r="G9">
            <v>45</v>
          </cell>
          <cell r="H9">
            <v>50</v>
          </cell>
          <cell r="I9">
            <v>70</v>
          </cell>
          <cell r="J9">
            <v>60</v>
          </cell>
          <cell r="K9">
            <v>30</v>
          </cell>
          <cell r="L9">
            <v>30</v>
          </cell>
          <cell r="M9">
            <v>60</v>
          </cell>
          <cell r="N9">
            <v>50</v>
          </cell>
          <cell r="O9">
            <v>60</v>
          </cell>
          <cell r="P9">
            <v>50</v>
          </cell>
          <cell r="Q9">
            <v>40</v>
          </cell>
        </row>
        <row r="10">
          <cell r="B10">
            <v>180</v>
          </cell>
          <cell r="C10">
            <v>160</v>
          </cell>
          <cell r="D10">
            <v>154</v>
          </cell>
          <cell r="E10">
            <v>150</v>
          </cell>
          <cell r="F10">
            <v>136</v>
          </cell>
          <cell r="G10">
            <v>132</v>
          </cell>
          <cell r="H10">
            <v>140</v>
          </cell>
          <cell r="I10">
            <v>147</v>
          </cell>
          <cell r="J10">
            <v>149</v>
          </cell>
          <cell r="K10">
            <v>144</v>
          </cell>
          <cell r="L10">
            <v>130</v>
          </cell>
          <cell r="M10">
            <v>130</v>
          </cell>
          <cell r="N10">
            <v>125</v>
          </cell>
          <cell r="O10">
            <v>142</v>
          </cell>
          <cell r="P10">
            <v>139</v>
          </cell>
          <cell r="Q10">
            <v>137</v>
          </cell>
        </row>
        <row r="11">
          <cell r="B11">
            <v>40</v>
          </cell>
          <cell r="C11">
            <v>60</v>
          </cell>
          <cell r="D11">
            <v>29</v>
          </cell>
          <cell r="E11">
            <v>16</v>
          </cell>
          <cell r="F11">
            <v>11</v>
          </cell>
          <cell r="G11">
            <v>45</v>
          </cell>
          <cell r="H11">
            <v>48</v>
          </cell>
          <cell r="I11">
            <v>55</v>
          </cell>
          <cell r="J11">
            <v>50</v>
          </cell>
          <cell r="K11">
            <v>60</v>
          </cell>
          <cell r="L11">
            <v>25</v>
          </cell>
          <cell r="M11">
            <v>38</v>
          </cell>
          <cell r="N11">
            <v>45</v>
          </cell>
          <cell r="O11">
            <v>40</v>
          </cell>
          <cell r="P11">
            <v>17</v>
          </cell>
          <cell r="Q11">
            <v>24</v>
          </cell>
          <cell r="R11">
            <v>22</v>
          </cell>
          <cell r="S11">
            <v>10</v>
          </cell>
          <cell r="T11">
            <v>18</v>
          </cell>
          <cell r="U11">
            <v>7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MPO 1"/>
      <sheetName val="costi campo 1"/>
      <sheetName val="CAMPO 2"/>
      <sheetName val="costi campo 2"/>
      <sheetName val="ASAE_standards"/>
    </sheetNames>
    <sheetDataSet>
      <sheetData sheetId="0"/>
      <sheetData sheetId="1"/>
      <sheetData sheetId="2">
        <row r="38">
          <cell r="M38">
            <v>3.1866338215980403</v>
          </cell>
        </row>
      </sheetData>
      <sheetData sheetId="3"/>
      <sheetData sheetId="4">
        <row r="13">
          <cell r="K13">
            <v>1.09E-2</v>
          </cell>
        </row>
        <row r="68">
          <cell r="L68">
            <v>40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opLeftCell="A4" workbookViewId="0">
      <selection activeCell="G14" sqref="G14"/>
    </sheetView>
  </sheetViews>
  <sheetFormatPr defaultColWidth="9.1796875" defaultRowHeight="14.5"/>
  <cols>
    <col min="1" max="1" width="23.1796875" style="1" customWidth="1"/>
    <col min="2" max="2" width="14.54296875" style="1" customWidth="1"/>
    <col min="3" max="5" width="9.1796875" style="1"/>
    <col min="6" max="6" width="15.26953125" style="1" customWidth="1"/>
    <col min="7" max="7" width="15.81640625" style="1" customWidth="1"/>
    <col min="8" max="16384" width="9.1796875" style="1"/>
  </cols>
  <sheetData>
    <row r="1" spans="1:8">
      <c r="A1" s="1" t="s">
        <v>0</v>
      </c>
    </row>
    <row r="2" spans="1:8" ht="29">
      <c r="A2" s="1" t="s">
        <v>3</v>
      </c>
      <c r="B2" s="1">
        <v>23.7</v>
      </c>
      <c r="D2" s="1" t="s">
        <v>54</v>
      </c>
      <c r="F2" s="1" t="s">
        <v>1</v>
      </c>
      <c r="G2" s="1" t="s">
        <v>2</v>
      </c>
    </row>
    <row r="3" spans="1:8" ht="29">
      <c r="A3" s="1" t="s">
        <v>4</v>
      </c>
      <c r="B3" s="1">
        <v>800</v>
      </c>
      <c r="D3" s="1" t="s">
        <v>55</v>
      </c>
      <c r="F3" s="1" t="s">
        <v>13</v>
      </c>
      <c r="G3" s="1">
        <v>4.8</v>
      </c>
    </row>
    <row r="4" spans="1:8">
      <c r="A4" s="1" t="s">
        <v>5</v>
      </c>
      <c r="B4" s="1">
        <v>350</v>
      </c>
      <c r="D4" s="1">
        <v>20.079999999999998</v>
      </c>
      <c r="F4" s="1" t="s">
        <v>8</v>
      </c>
      <c r="G4" s="1">
        <v>250000</v>
      </c>
    </row>
    <row r="5" spans="1:8">
      <c r="A5" s="1" t="s">
        <v>6</v>
      </c>
      <c r="B5" s="1">
        <v>10</v>
      </c>
      <c r="D5" s="1">
        <v>19.850000000000001</v>
      </c>
      <c r="F5" s="1" t="s">
        <v>9</v>
      </c>
      <c r="G5" s="1">
        <v>25</v>
      </c>
    </row>
    <row r="6" spans="1:8" ht="43.5">
      <c r="A6" s="1" t="s">
        <v>7</v>
      </c>
      <c r="B6" s="1">
        <v>8</v>
      </c>
      <c r="D6" s="1">
        <v>20.18</v>
      </c>
      <c r="F6" s="1" t="s">
        <v>10</v>
      </c>
      <c r="G6" s="2" t="s">
        <v>11</v>
      </c>
    </row>
    <row r="7" spans="1:8">
      <c r="D7" s="1">
        <v>20.2</v>
      </c>
    </row>
    <row r="8" spans="1:8">
      <c r="D8" s="1">
        <v>20.68</v>
      </c>
    </row>
    <row r="9" spans="1:8">
      <c r="A9" s="1" t="s">
        <v>12</v>
      </c>
    </row>
    <row r="11" spans="1:8" ht="29">
      <c r="A11" s="1" t="s">
        <v>3</v>
      </c>
      <c r="B11" s="1">
        <v>23.7</v>
      </c>
      <c r="D11" s="1" t="s">
        <v>54</v>
      </c>
    </row>
    <row r="12" spans="1:8" ht="29">
      <c r="A12" s="1" t="s">
        <v>4</v>
      </c>
      <c r="B12" s="1">
        <v>800</v>
      </c>
      <c r="D12" s="1" t="s">
        <v>55</v>
      </c>
      <c r="E12" s="1" t="s">
        <v>267</v>
      </c>
      <c r="F12" s="1" t="s">
        <v>268</v>
      </c>
      <c r="G12" s="1" t="s">
        <v>269</v>
      </c>
      <c r="H12" s="1" t="s">
        <v>270</v>
      </c>
    </row>
    <row r="13" spans="1:8">
      <c r="A13" s="1" t="s">
        <v>5</v>
      </c>
      <c r="B13" s="1">
        <v>420</v>
      </c>
      <c r="D13" s="1">
        <v>20.3</v>
      </c>
      <c r="E13" s="1">
        <f>3.385</f>
        <v>3.3849999999999998</v>
      </c>
      <c r="F13" s="1">
        <f>D13-E13</f>
        <v>16.914999999999999</v>
      </c>
      <c r="G13" s="1">
        <f>F13/H13</f>
        <v>630.68605518269942</v>
      </c>
      <c r="H13" s="1">
        <v>2.682E-2</v>
      </c>
    </row>
    <row r="14" spans="1:8">
      <c r="A14" s="1" t="s">
        <v>6</v>
      </c>
      <c r="B14" s="1">
        <v>5</v>
      </c>
      <c r="D14" s="1">
        <v>20.95</v>
      </c>
      <c r="E14" s="1">
        <f t="shared" ref="E14:E17" si="0">3.385</f>
        <v>3.3849999999999998</v>
      </c>
      <c r="F14" s="1">
        <f t="shared" ref="F14:F16" si="1">D14-E14</f>
        <v>17.564999999999998</v>
      </c>
      <c r="G14" s="1">
        <f t="shared" ref="G14:G17" si="2">F14/H14</f>
        <v>654.92170022371351</v>
      </c>
      <c r="H14" s="1">
        <v>2.682E-2</v>
      </c>
    </row>
    <row r="15" spans="1:8">
      <c r="A15" s="1" t="s">
        <v>7</v>
      </c>
      <c r="B15" s="1">
        <v>4</v>
      </c>
      <c r="D15" s="1">
        <v>21.05</v>
      </c>
      <c r="E15" s="1">
        <f t="shared" si="0"/>
        <v>3.3849999999999998</v>
      </c>
      <c r="F15" s="1">
        <f t="shared" si="1"/>
        <v>17.664999999999999</v>
      </c>
      <c r="G15" s="1">
        <f t="shared" si="2"/>
        <v>658.65026099925421</v>
      </c>
      <c r="H15" s="1">
        <v>2.682E-2</v>
      </c>
    </row>
    <row r="16" spans="1:8">
      <c r="D16" s="1">
        <v>20.25</v>
      </c>
      <c r="E16" s="1">
        <f t="shared" si="0"/>
        <v>3.3849999999999998</v>
      </c>
      <c r="F16" s="1">
        <f t="shared" si="1"/>
        <v>16.865000000000002</v>
      </c>
      <c r="G16" s="1">
        <f t="shared" si="2"/>
        <v>628.82177479492918</v>
      </c>
      <c r="H16" s="1">
        <v>2.682E-2</v>
      </c>
    </row>
    <row r="17" spans="4:8">
      <c r="D17" s="1">
        <v>20.7</v>
      </c>
      <c r="E17" s="1">
        <f t="shared" si="0"/>
        <v>3.3849999999999998</v>
      </c>
      <c r="F17" s="1">
        <f>D17-E17</f>
        <v>17.314999999999998</v>
      </c>
      <c r="G17" s="1">
        <f t="shared" si="2"/>
        <v>645.60029828486199</v>
      </c>
      <c r="H17" s="1">
        <v>2.682E-2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8"/>
  <sheetViews>
    <sheetView topLeftCell="A22" workbookViewId="0">
      <selection activeCell="F34" sqref="F34"/>
    </sheetView>
  </sheetViews>
  <sheetFormatPr defaultColWidth="9.1796875" defaultRowHeight="14.5"/>
  <cols>
    <col min="1" max="2" width="11.54296875" style="1" customWidth="1"/>
    <col min="3" max="3" width="17.54296875" style="1" customWidth="1"/>
    <col min="4" max="7" width="9.1796875" style="1"/>
    <col min="8" max="8" width="22.26953125" style="1" customWidth="1"/>
    <col min="9" max="9" width="10.453125" style="1" customWidth="1"/>
    <col min="10" max="10" width="12.54296875" style="1" customWidth="1"/>
    <col min="11" max="11" width="11.54296875" style="1" bestFit="1" customWidth="1"/>
    <col min="12" max="16384" width="9.1796875" style="1"/>
  </cols>
  <sheetData>
    <row r="1" spans="1:12" ht="16.5">
      <c r="A1" s="1" t="s">
        <v>14</v>
      </c>
      <c r="B1" s="1" t="s">
        <v>19</v>
      </c>
      <c r="C1" s="1" t="s">
        <v>15</v>
      </c>
      <c r="D1" s="1" t="s">
        <v>16</v>
      </c>
      <c r="E1" s="1" t="s">
        <v>17</v>
      </c>
      <c r="F1" s="1" t="s">
        <v>18</v>
      </c>
      <c r="G1" s="1" t="s">
        <v>20</v>
      </c>
      <c r="H1" s="1" t="s">
        <v>21</v>
      </c>
      <c r="I1" s="1" t="s">
        <v>22</v>
      </c>
      <c r="J1" s="1" t="s">
        <v>60</v>
      </c>
      <c r="K1" s="1" t="s">
        <v>61</v>
      </c>
      <c r="L1" s="1" t="s">
        <v>62</v>
      </c>
    </row>
    <row r="2" spans="1:12">
      <c r="A2" s="1">
        <v>1</v>
      </c>
      <c r="B2" s="1">
        <v>277.3</v>
      </c>
      <c r="C2" s="1">
        <f>277.3*4.8</f>
        <v>1331.04</v>
      </c>
      <c r="D2" s="1">
        <v>178</v>
      </c>
      <c r="E2" s="1">
        <v>25</v>
      </c>
      <c r="H2" s="3">
        <f>(B2/D2)*3.6</f>
        <v>5.6083146067415734</v>
      </c>
      <c r="I2" s="3">
        <f>(H2*1000*4.8)/10000</f>
        <v>2.6919910112359555</v>
      </c>
      <c r="J2" s="3">
        <f>(C2/(D2+E2))*0.36</f>
        <v>2.3604650246305416</v>
      </c>
      <c r="K2" s="4">
        <f>J2/I2</f>
        <v>0.87684729064039391</v>
      </c>
      <c r="L2" s="3">
        <f>J2*$B$33</f>
        <v>2.0972106698586619</v>
      </c>
    </row>
    <row r="3" spans="1:12">
      <c r="A3" s="1">
        <v>2</v>
      </c>
      <c r="B3" s="1">
        <v>277.3</v>
      </c>
      <c r="C3" s="1">
        <f t="shared" ref="C3:C14" si="0">277.3*4.8</f>
        <v>1331.04</v>
      </c>
      <c r="D3" s="1">
        <v>217</v>
      </c>
      <c r="E3" s="1">
        <v>18</v>
      </c>
      <c r="H3" s="3">
        <f t="shared" ref="H3:H24" si="1">(B3/D3)*3.6</f>
        <v>4.6003686635944705</v>
      </c>
      <c r="I3" s="3">
        <f t="shared" ref="I3:I24" si="2">(H3*1000*4.8)/10000</f>
        <v>2.2081769585253457</v>
      </c>
      <c r="J3" s="3">
        <f t="shared" ref="J3:J24" si="3">(C3/(D3+E3))*0.36</f>
        <v>2.03904</v>
      </c>
      <c r="K3" s="4">
        <f t="shared" ref="K3:K24" si="4">J3/I3</f>
        <v>0.92340425531914894</v>
      </c>
      <c r="L3" s="3">
        <f t="shared" ref="L3:L24" si="5">J3*$B$33</f>
        <v>1.8116330467289719</v>
      </c>
    </row>
    <row r="4" spans="1:12">
      <c r="A4" s="1">
        <v>3</v>
      </c>
      <c r="B4" s="1">
        <v>277.3</v>
      </c>
      <c r="C4" s="1">
        <f t="shared" si="0"/>
        <v>1331.04</v>
      </c>
      <c r="D4" s="1">
        <v>210</v>
      </c>
      <c r="E4" s="1">
        <v>30</v>
      </c>
      <c r="H4" s="3">
        <f t="shared" si="1"/>
        <v>4.7537142857142864</v>
      </c>
      <c r="I4" s="3">
        <f t="shared" si="2"/>
        <v>2.2817828571428573</v>
      </c>
      <c r="J4" s="3">
        <f t="shared" si="3"/>
        <v>1.9965600000000001</v>
      </c>
      <c r="K4" s="4">
        <f t="shared" si="4"/>
        <v>0.875</v>
      </c>
      <c r="L4" s="3">
        <f t="shared" si="5"/>
        <v>1.7738906915887851</v>
      </c>
    </row>
    <row r="5" spans="1:12">
      <c r="A5" s="1">
        <v>4</v>
      </c>
      <c r="B5" s="1">
        <v>277.3</v>
      </c>
      <c r="C5" s="1">
        <f t="shared" si="0"/>
        <v>1331.04</v>
      </c>
      <c r="D5" s="1">
        <v>185</v>
      </c>
      <c r="E5" s="1">
        <v>33</v>
      </c>
      <c r="H5" s="3">
        <f t="shared" si="1"/>
        <v>5.3961081081081081</v>
      </c>
      <c r="I5" s="3">
        <f t="shared" si="2"/>
        <v>2.5901318918918919</v>
      </c>
      <c r="J5" s="3">
        <f t="shared" si="3"/>
        <v>2.1980477064220185</v>
      </c>
      <c r="K5" s="4">
        <f t="shared" si="4"/>
        <v>0.8486238532110093</v>
      </c>
      <c r="L5" s="3">
        <f t="shared" si="5"/>
        <v>1.9529071834004972</v>
      </c>
    </row>
    <row r="6" spans="1:12">
      <c r="A6" s="1">
        <v>5</v>
      </c>
      <c r="B6" s="1">
        <v>277.3</v>
      </c>
      <c r="C6" s="1">
        <f t="shared" si="0"/>
        <v>1331.04</v>
      </c>
      <c r="D6" s="1">
        <v>162</v>
      </c>
      <c r="E6" s="1">
        <v>19</v>
      </c>
      <c r="H6" s="3">
        <f t="shared" si="1"/>
        <v>6.1622222222222218</v>
      </c>
      <c r="I6" s="3">
        <f t="shared" si="2"/>
        <v>2.9578666666666664</v>
      </c>
      <c r="J6" s="3">
        <f t="shared" si="3"/>
        <v>2.6473723756906078</v>
      </c>
      <c r="K6" s="4">
        <f t="shared" si="4"/>
        <v>0.89502762430939231</v>
      </c>
      <c r="L6" s="3">
        <f t="shared" si="5"/>
        <v>2.3521202540403778</v>
      </c>
    </row>
    <row r="7" spans="1:12">
      <c r="A7" s="1">
        <v>6</v>
      </c>
      <c r="B7" s="1">
        <v>277.3</v>
      </c>
      <c r="C7" s="1">
        <f t="shared" si="0"/>
        <v>1331.04</v>
      </c>
      <c r="D7" s="1">
        <v>171</v>
      </c>
      <c r="E7" s="1">
        <v>40</v>
      </c>
      <c r="H7" s="3">
        <f t="shared" si="1"/>
        <v>5.8378947368421059</v>
      </c>
      <c r="I7" s="3">
        <f t="shared" si="2"/>
        <v>2.8021894736842108</v>
      </c>
      <c r="J7" s="3">
        <f t="shared" si="3"/>
        <v>2.2709687203791469</v>
      </c>
      <c r="K7" s="4">
        <f t="shared" si="4"/>
        <v>0.81042654028436012</v>
      </c>
      <c r="L7" s="3">
        <f t="shared" si="5"/>
        <v>2.0176955733711295</v>
      </c>
    </row>
    <row r="8" spans="1:12">
      <c r="A8" s="1">
        <v>7</v>
      </c>
      <c r="B8" s="1">
        <v>277.3</v>
      </c>
      <c r="C8" s="1">
        <f t="shared" si="0"/>
        <v>1331.04</v>
      </c>
      <c r="D8" s="1">
        <v>189</v>
      </c>
      <c r="E8" s="1">
        <v>18</v>
      </c>
      <c r="H8" s="3">
        <f t="shared" si="1"/>
        <v>5.2819047619047623</v>
      </c>
      <c r="I8" s="3">
        <f t="shared" si="2"/>
        <v>2.5353142857142861</v>
      </c>
      <c r="J8" s="3">
        <f t="shared" si="3"/>
        <v>2.3148521739130437</v>
      </c>
      <c r="K8" s="4">
        <f t="shared" si="4"/>
        <v>0.91304347826086951</v>
      </c>
      <c r="L8" s="3">
        <f t="shared" si="5"/>
        <v>2.056684859813084</v>
      </c>
    </row>
    <row r="9" spans="1:12">
      <c r="A9" s="1">
        <v>8</v>
      </c>
      <c r="B9" s="1">
        <v>277.3</v>
      </c>
      <c r="C9" s="1">
        <f t="shared" si="0"/>
        <v>1331.04</v>
      </c>
      <c r="D9" s="1">
        <v>229</v>
      </c>
      <c r="E9" s="1">
        <v>18</v>
      </c>
      <c r="H9" s="3">
        <f t="shared" si="1"/>
        <v>4.3593013100436684</v>
      </c>
      <c r="I9" s="3">
        <f t="shared" si="2"/>
        <v>2.0924646288209607</v>
      </c>
      <c r="J9" s="3">
        <f t="shared" si="3"/>
        <v>1.9399773279352226</v>
      </c>
      <c r="K9" s="4">
        <f t="shared" si="4"/>
        <v>0.92712550607287447</v>
      </c>
      <c r="L9" s="3">
        <f t="shared" si="5"/>
        <v>1.7236184857542849</v>
      </c>
    </row>
    <row r="10" spans="1:12">
      <c r="A10" s="1">
        <v>9</v>
      </c>
      <c r="B10" s="1">
        <v>277.3</v>
      </c>
      <c r="C10" s="1">
        <f t="shared" si="0"/>
        <v>1331.04</v>
      </c>
      <c r="D10" s="1">
        <v>191</v>
      </c>
      <c r="E10" s="1">
        <v>31</v>
      </c>
      <c r="H10" s="3">
        <f t="shared" si="1"/>
        <v>5.2265968586387439</v>
      </c>
      <c r="I10" s="3">
        <f t="shared" si="2"/>
        <v>2.5087664921465969</v>
      </c>
      <c r="J10" s="3">
        <f t="shared" si="3"/>
        <v>2.158443243243243</v>
      </c>
      <c r="K10" s="4">
        <f t="shared" si="4"/>
        <v>0.86036036036036023</v>
      </c>
      <c r="L10" s="3">
        <f t="shared" si="5"/>
        <v>1.9177196665824698</v>
      </c>
    </row>
    <row r="11" spans="1:12">
      <c r="A11" s="1">
        <v>10</v>
      </c>
      <c r="B11" s="1">
        <v>277.3</v>
      </c>
      <c r="C11" s="1">
        <f t="shared" si="0"/>
        <v>1331.04</v>
      </c>
      <c r="D11" s="1">
        <v>165</v>
      </c>
      <c r="E11" s="1">
        <v>24</v>
      </c>
      <c r="H11" s="3">
        <f t="shared" si="1"/>
        <v>6.0501818181818185</v>
      </c>
      <c r="I11" s="3">
        <f t="shared" si="2"/>
        <v>2.9040872727272729</v>
      </c>
      <c r="J11" s="3">
        <f t="shared" si="3"/>
        <v>2.5353142857142856</v>
      </c>
      <c r="K11" s="4">
        <f t="shared" si="4"/>
        <v>0.87301587301587291</v>
      </c>
      <c r="L11" s="3">
        <f t="shared" si="5"/>
        <v>2.252559608366711</v>
      </c>
    </row>
    <row r="12" spans="1:12">
      <c r="A12" s="1">
        <v>11</v>
      </c>
      <c r="B12" s="1">
        <v>277.3</v>
      </c>
      <c r="C12" s="1">
        <f t="shared" si="0"/>
        <v>1331.04</v>
      </c>
      <c r="D12" s="1">
        <v>227</v>
      </c>
      <c r="E12" s="1">
        <v>40</v>
      </c>
      <c r="H12" s="3">
        <f t="shared" si="1"/>
        <v>4.3977092511013218</v>
      </c>
      <c r="I12" s="3">
        <f t="shared" si="2"/>
        <v>2.110900440528634</v>
      </c>
      <c r="J12" s="3">
        <f t="shared" si="3"/>
        <v>1.7946606741573032</v>
      </c>
      <c r="K12" s="4">
        <f t="shared" si="4"/>
        <v>0.85018726591760307</v>
      </c>
      <c r="L12" s="3">
        <f t="shared" si="5"/>
        <v>1.5945084868213795</v>
      </c>
    </row>
    <row r="13" spans="1:12">
      <c r="A13" s="1">
        <v>12</v>
      </c>
      <c r="B13" s="1">
        <v>277.3</v>
      </c>
      <c r="C13" s="1">
        <f t="shared" si="0"/>
        <v>1331.04</v>
      </c>
      <c r="D13" s="1">
        <v>181</v>
      </c>
      <c r="E13" s="1">
        <v>21</v>
      </c>
      <c r="H13" s="3">
        <f t="shared" si="1"/>
        <v>5.5153591160220996</v>
      </c>
      <c r="I13" s="3">
        <f t="shared" si="2"/>
        <v>2.6473723756906078</v>
      </c>
      <c r="J13" s="3">
        <f t="shared" si="3"/>
        <v>2.3721504950495049</v>
      </c>
      <c r="K13" s="4">
        <f t="shared" si="4"/>
        <v>0.89603960396039606</v>
      </c>
      <c r="L13" s="3">
        <f t="shared" si="5"/>
        <v>2.1075929008975662</v>
      </c>
    </row>
    <row r="14" spans="1:12">
      <c r="A14" s="1">
        <v>13</v>
      </c>
      <c r="B14" s="1">
        <v>277.3</v>
      </c>
      <c r="C14" s="1">
        <f t="shared" si="0"/>
        <v>1331.04</v>
      </c>
      <c r="D14" s="1">
        <v>151</v>
      </c>
      <c r="E14" s="1">
        <v>50</v>
      </c>
      <c r="H14" s="3">
        <f t="shared" si="1"/>
        <v>6.6111258278145701</v>
      </c>
      <c r="I14" s="3">
        <f t="shared" si="2"/>
        <v>3.1733403973509935</v>
      </c>
      <c r="J14" s="3">
        <f t="shared" si="3"/>
        <v>2.38395223880597</v>
      </c>
      <c r="K14" s="4">
        <f t="shared" si="4"/>
        <v>0.75124378109452727</v>
      </c>
      <c r="L14" s="3">
        <f t="shared" si="5"/>
        <v>2.1180784377179518</v>
      </c>
    </row>
    <row r="15" spans="1:12">
      <c r="A15" s="1">
        <v>14</v>
      </c>
      <c r="B15" s="1">
        <v>201.1</v>
      </c>
      <c r="C15" s="1">
        <f>201.1*4.8</f>
        <v>965.28</v>
      </c>
      <c r="D15" s="1">
        <v>248</v>
      </c>
      <c r="E15" s="1">
        <v>33</v>
      </c>
      <c r="H15" s="3">
        <f t="shared" si="1"/>
        <v>2.919193548387097</v>
      </c>
      <c r="I15" s="3">
        <f t="shared" si="2"/>
        <v>1.4012129032258067</v>
      </c>
      <c r="J15" s="3">
        <f t="shared" si="3"/>
        <v>1.2366576512455516</v>
      </c>
      <c r="K15" s="4">
        <f t="shared" si="4"/>
        <v>0.882562277580071</v>
      </c>
      <c r="L15" s="3">
        <f t="shared" si="5"/>
        <v>1.0987375767452687</v>
      </c>
    </row>
    <row r="16" spans="1:12">
      <c r="A16" s="1">
        <v>15</v>
      </c>
      <c r="B16" s="1">
        <v>201.1</v>
      </c>
      <c r="C16" s="1">
        <f t="shared" ref="C16:C24" si="6">201.1*4.8</f>
        <v>965.28</v>
      </c>
      <c r="D16" s="1">
        <v>162</v>
      </c>
      <c r="E16" s="1">
        <v>37</v>
      </c>
      <c r="H16" s="3">
        <f t="shared" si="1"/>
        <v>4.4688888888888894</v>
      </c>
      <c r="I16" s="3">
        <f t="shared" si="2"/>
        <v>2.1450666666666667</v>
      </c>
      <c r="J16" s="3">
        <f t="shared" si="3"/>
        <v>1.746235175879397</v>
      </c>
      <c r="K16" s="4">
        <f t="shared" si="4"/>
        <v>0.81407035175879394</v>
      </c>
      <c r="L16" s="3">
        <f t="shared" si="5"/>
        <v>1.5514837138965856</v>
      </c>
    </row>
    <row r="17" spans="1:12">
      <c r="A17" s="1">
        <v>16</v>
      </c>
      <c r="B17" s="1">
        <v>201.1</v>
      </c>
      <c r="C17" s="1">
        <f t="shared" si="6"/>
        <v>965.28</v>
      </c>
      <c r="D17" s="1">
        <v>168</v>
      </c>
      <c r="E17" s="1">
        <v>27</v>
      </c>
      <c r="H17" s="3">
        <f t="shared" si="1"/>
        <v>4.3092857142857142</v>
      </c>
      <c r="I17" s="3">
        <f t="shared" si="2"/>
        <v>2.0684571428571425</v>
      </c>
      <c r="J17" s="3">
        <f t="shared" si="3"/>
        <v>1.7820553846153844</v>
      </c>
      <c r="K17" s="4">
        <f t="shared" si="4"/>
        <v>0.86153846153846159</v>
      </c>
      <c r="L17" s="3">
        <f t="shared" si="5"/>
        <v>1.5833090208483103</v>
      </c>
    </row>
    <row r="18" spans="1:12">
      <c r="A18" s="1">
        <v>17</v>
      </c>
      <c r="B18" s="1">
        <v>201.1</v>
      </c>
      <c r="C18" s="1">
        <f t="shared" si="6"/>
        <v>965.28</v>
      </c>
      <c r="D18" s="1">
        <v>151</v>
      </c>
      <c r="E18" s="1">
        <v>27</v>
      </c>
      <c r="H18" s="3">
        <f t="shared" si="1"/>
        <v>4.7944370860927155</v>
      </c>
      <c r="I18" s="3">
        <f t="shared" si="2"/>
        <v>2.3013298013245036</v>
      </c>
      <c r="J18" s="3">
        <f t="shared" si="3"/>
        <v>1.9522516853932581</v>
      </c>
      <c r="K18" s="4">
        <f t="shared" si="4"/>
        <v>0.84831460674157277</v>
      </c>
      <c r="L18" s="3">
        <f t="shared" si="5"/>
        <v>1.7345239273338229</v>
      </c>
    </row>
    <row r="19" spans="1:12">
      <c r="A19" s="1">
        <v>18</v>
      </c>
      <c r="B19" s="1">
        <v>201.1</v>
      </c>
      <c r="C19" s="1">
        <f t="shared" si="6"/>
        <v>965.28</v>
      </c>
      <c r="D19" s="1">
        <v>148</v>
      </c>
      <c r="E19" s="1">
        <v>22</v>
      </c>
      <c r="H19" s="3">
        <f t="shared" si="1"/>
        <v>4.8916216216216215</v>
      </c>
      <c r="I19" s="3">
        <f t="shared" si="2"/>
        <v>2.3479783783783783</v>
      </c>
      <c r="J19" s="3">
        <f t="shared" si="3"/>
        <v>2.0441223529411765</v>
      </c>
      <c r="K19" s="4">
        <f t="shared" si="4"/>
        <v>0.87058823529411766</v>
      </c>
      <c r="L19" s="3">
        <f t="shared" si="5"/>
        <v>1.8161485827377679</v>
      </c>
    </row>
    <row r="20" spans="1:12">
      <c r="A20" s="1">
        <v>19</v>
      </c>
      <c r="B20" s="1">
        <v>201.1</v>
      </c>
      <c r="C20" s="1">
        <f t="shared" si="6"/>
        <v>965.28</v>
      </c>
      <c r="D20" s="1">
        <v>152</v>
      </c>
      <c r="E20" s="1">
        <v>24</v>
      </c>
      <c r="H20" s="3">
        <f t="shared" si="1"/>
        <v>4.7628947368421057</v>
      </c>
      <c r="I20" s="3">
        <f t="shared" si="2"/>
        <v>2.2861894736842108</v>
      </c>
      <c r="J20" s="3">
        <f t="shared" si="3"/>
        <v>1.9744363636363635</v>
      </c>
      <c r="K20" s="4">
        <f t="shared" si="4"/>
        <v>0.86363636363636354</v>
      </c>
      <c r="L20" s="3">
        <f t="shared" si="5"/>
        <v>1.7542344265080712</v>
      </c>
    </row>
    <row r="21" spans="1:12">
      <c r="A21" s="1">
        <v>20</v>
      </c>
      <c r="B21" s="1">
        <v>201.1</v>
      </c>
      <c r="C21" s="1">
        <f t="shared" si="6"/>
        <v>965.28</v>
      </c>
      <c r="D21" s="1">
        <v>146</v>
      </c>
      <c r="E21" s="1">
        <v>16</v>
      </c>
      <c r="H21" s="3">
        <f t="shared" si="1"/>
        <v>4.9586301369863017</v>
      </c>
      <c r="I21" s="3">
        <f t="shared" si="2"/>
        <v>2.3801424657534245</v>
      </c>
      <c r="J21" s="3">
        <f t="shared" si="3"/>
        <v>2.1450666666666667</v>
      </c>
      <c r="K21" s="4">
        <f t="shared" si="4"/>
        <v>0.90123456790123468</v>
      </c>
      <c r="L21" s="3">
        <f t="shared" si="5"/>
        <v>1.9058349325025958</v>
      </c>
    </row>
    <row r="22" spans="1:12">
      <c r="A22" s="1">
        <v>21</v>
      </c>
      <c r="B22" s="1">
        <v>201.1</v>
      </c>
      <c r="C22" s="1">
        <f t="shared" si="6"/>
        <v>965.28</v>
      </c>
      <c r="D22" s="1">
        <v>144</v>
      </c>
      <c r="E22" s="1">
        <v>18</v>
      </c>
      <c r="H22" s="3">
        <f t="shared" si="1"/>
        <v>5.0274999999999999</v>
      </c>
      <c r="I22" s="3">
        <f t="shared" si="2"/>
        <v>2.4131999999999998</v>
      </c>
      <c r="J22" s="3">
        <f t="shared" si="3"/>
        <v>2.1450666666666667</v>
      </c>
      <c r="K22" s="4">
        <f t="shared" si="4"/>
        <v>0.88888888888888895</v>
      </c>
      <c r="L22" s="3">
        <f t="shared" si="5"/>
        <v>1.9058349325025958</v>
      </c>
    </row>
    <row r="23" spans="1:12">
      <c r="A23" s="1">
        <v>22</v>
      </c>
      <c r="B23" s="1">
        <v>201.1</v>
      </c>
      <c r="C23" s="1">
        <f t="shared" si="6"/>
        <v>965.28</v>
      </c>
      <c r="D23" s="1">
        <v>214</v>
      </c>
      <c r="E23" s="1">
        <v>18</v>
      </c>
      <c r="H23" s="3">
        <f t="shared" si="1"/>
        <v>3.3829906542056074</v>
      </c>
      <c r="I23" s="3">
        <f t="shared" si="2"/>
        <v>1.6238355140186915</v>
      </c>
      <c r="J23" s="3">
        <f t="shared" si="3"/>
        <v>1.4978482758620688</v>
      </c>
      <c r="K23" s="4">
        <f t="shared" si="4"/>
        <v>0.92241379310344818</v>
      </c>
      <c r="L23" s="3">
        <f t="shared" si="5"/>
        <v>1.3307985304543988</v>
      </c>
    </row>
    <row r="24" spans="1:12">
      <c r="A24" s="1">
        <v>23</v>
      </c>
      <c r="B24" s="1">
        <v>201.1</v>
      </c>
      <c r="C24" s="1">
        <f t="shared" si="6"/>
        <v>965.28</v>
      </c>
      <c r="D24" s="1">
        <v>188</v>
      </c>
      <c r="E24" s="1">
        <v>18</v>
      </c>
      <c r="H24" s="3">
        <f t="shared" si="1"/>
        <v>3.8508510638297873</v>
      </c>
      <c r="I24" s="3">
        <f t="shared" si="2"/>
        <v>1.8484085106382977</v>
      </c>
      <c r="J24" s="3">
        <f t="shared" si="3"/>
        <v>1.6868970873786406</v>
      </c>
      <c r="K24" s="4">
        <f t="shared" si="4"/>
        <v>0.91262135922330101</v>
      </c>
      <c r="L24" s="3">
        <f t="shared" si="5"/>
        <v>1.4987633935214588</v>
      </c>
    </row>
    <row r="27" spans="1:12">
      <c r="A27" s="1" t="s">
        <v>57</v>
      </c>
    </row>
    <row r="28" spans="1:12" ht="29">
      <c r="A28" s="1" t="s">
        <v>58</v>
      </c>
      <c r="B28" s="1">
        <v>138</v>
      </c>
      <c r="C28" s="1">
        <v>221</v>
      </c>
    </row>
    <row r="29" spans="1:12">
      <c r="A29" s="1" t="s">
        <v>59</v>
      </c>
      <c r="B29" s="1">
        <v>118</v>
      </c>
      <c r="C29" s="1">
        <v>150</v>
      </c>
    </row>
    <row r="32" spans="1:12">
      <c r="A32" s="1" t="s">
        <v>64</v>
      </c>
      <c r="B32" s="1" t="s">
        <v>65</v>
      </c>
      <c r="C32" s="1" t="s">
        <v>66</v>
      </c>
    </row>
    <row r="33" spans="1:3">
      <c r="A33" s="1" t="s">
        <v>63</v>
      </c>
      <c r="B33" s="37">
        <f>'tabelle per IF'!I13</f>
        <v>0.8884735202492211</v>
      </c>
    </row>
    <row r="34" spans="1:3" ht="29">
      <c r="A34" s="1" t="s">
        <v>67</v>
      </c>
      <c r="B34" s="3">
        <f>AVERAGE($H$2:$H$24)</f>
        <v>4.9203084790465041</v>
      </c>
      <c r="C34" s="3">
        <f>STDEV($H$2:$H$24)</f>
        <v>0.87019359850463884</v>
      </c>
    </row>
    <row r="35" spans="1:3">
      <c r="A35" s="1" t="s">
        <v>22</v>
      </c>
      <c r="B35" s="37">
        <f>AVERAGE($I$2:$I$24)</f>
        <v>2.3617480699423217</v>
      </c>
      <c r="C35" s="3">
        <f>STDEV($I$2:$I$24)</f>
        <v>0.41769292728223051</v>
      </c>
    </row>
    <row r="36" spans="1:3">
      <c r="A36" s="1" t="s">
        <v>60</v>
      </c>
      <c r="B36" s="37">
        <f>AVERAGE($J$2:$J$24)</f>
        <v>2.0531496337489594</v>
      </c>
      <c r="C36" s="3">
        <f>STDEV($J$2:$J$24)</f>
        <v>0.33251541594362055</v>
      </c>
    </row>
    <row r="37" spans="1:3">
      <c r="A37" s="1" t="s">
        <v>61</v>
      </c>
      <c r="B37" s="4">
        <f>AVERAGE($K$2:$K$24)</f>
        <v>0.87244410165708974</v>
      </c>
      <c r="C37" s="4">
        <f>STDEV($K$2:$K$24)</f>
        <v>4.1327604186236641E-2</v>
      </c>
    </row>
    <row r="38" spans="1:3">
      <c r="A38" s="1" t="s">
        <v>62</v>
      </c>
      <c r="B38" s="37">
        <f>AVERAGE($L$2:$L$24)</f>
        <v>1.8241690826953367</v>
      </c>
      <c r="C38" s="3">
        <f>STDEV($L$2:$L$24)</f>
        <v>0.29543114214056582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1"/>
  <sheetViews>
    <sheetView topLeftCell="A25" workbookViewId="0">
      <selection activeCell="I40" sqref="I40"/>
    </sheetView>
  </sheetViews>
  <sheetFormatPr defaultColWidth="9.1796875" defaultRowHeight="14.5"/>
  <cols>
    <col min="1" max="1" width="31.26953125" style="5" bestFit="1" customWidth="1"/>
    <col min="2" max="2" width="18.7265625" style="5" customWidth="1"/>
    <col min="3" max="3" width="9.1796875" style="5"/>
    <col min="4" max="4" width="16.7265625" style="5" customWidth="1"/>
    <col min="5" max="5" width="11.453125" style="5" bestFit="1" customWidth="1"/>
    <col min="6" max="6" width="9.1796875" style="5"/>
    <col min="7" max="7" width="19.453125" style="5" customWidth="1"/>
    <col min="8" max="8" width="27" style="5" customWidth="1"/>
    <col min="9" max="9" width="15.1796875" style="5" customWidth="1"/>
    <col min="10" max="16384" width="9.1796875" style="5"/>
  </cols>
  <sheetData>
    <row r="1" spans="1:9">
      <c r="D1" s="5" t="s">
        <v>2</v>
      </c>
    </row>
    <row r="2" spans="1:9">
      <c r="A2" s="6" t="s">
        <v>68</v>
      </c>
      <c r="B2" s="7"/>
      <c r="C2" s="8" t="s">
        <v>69</v>
      </c>
      <c r="D2" s="9">
        <f>'settaggi trebbia'!G4</f>
        <v>250000</v>
      </c>
      <c r="H2" s="5" t="s">
        <v>70</v>
      </c>
      <c r="I2" s="5">
        <v>176</v>
      </c>
    </row>
    <row r="3" spans="1:9">
      <c r="A3" s="10" t="s">
        <v>71</v>
      </c>
      <c r="B3" s="11"/>
      <c r="C3" s="12" t="s">
        <v>72</v>
      </c>
      <c r="D3" s="5">
        <v>10</v>
      </c>
      <c r="H3" s="5" t="s">
        <v>73</v>
      </c>
      <c r="I3" s="5">
        <v>0.5</v>
      </c>
    </row>
    <row r="4" spans="1:9">
      <c r="A4" s="10" t="s">
        <v>71</v>
      </c>
      <c r="B4" s="11"/>
      <c r="C4" s="12" t="s">
        <v>74</v>
      </c>
      <c r="D4" s="5">
        <v>3000</v>
      </c>
    </row>
    <row r="5" spans="1:9">
      <c r="A5" s="10" t="s">
        <v>75</v>
      </c>
      <c r="B5" s="12" t="s">
        <v>76</v>
      </c>
      <c r="C5" s="12"/>
      <c r="D5" s="13">
        <f>(1+[2]ASAE_standards!K13)^'costi campo 2'!D3</f>
        <v>1.1145048569290974</v>
      </c>
    </row>
    <row r="6" spans="1:9" ht="29">
      <c r="A6" s="10" t="s">
        <v>77</v>
      </c>
      <c r="B6" s="12" t="s">
        <v>78</v>
      </c>
      <c r="C6" s="12" t="s">
        <v>79</v>
      </c>
      <c r="D6" s="13">
        <v>19</v>
      </c>
      <c r="H6" s="5" t="s">
        <v>80</v>
      </c>
      <c r="I6" s="5" t="s">
        <v>81</v>
      </c>
    </row>
    <row r="7" spans="1:9">
      <c r="A7" s="10" t="s">
        <v>77</v>
      </c>
      <c r="C7" s="12" t="s">
        <v>69</v>
      </c>
      <c r="D7" s="13">
        <f>D2*D6/100</f>
        <v>47500</v>
      </c>
    </row>
    <row r="8" spans="1:9">
      <c r="A8" s="10" t="s">
        <v>82</v>
      </c>
      <c r="B8" s="11"/>
      <c r="C8" s="12" t="s">
        <v>69</v>
      </c>
      <c r="D8" s="13">
        <f>D2-D7</f>
        <v>202500</v>
      </c>
    </row>
    <row r="9" spans="1:9">
      <c r="A9" s="10" t="s">
        <v>83</v>
      </c>
      <c r="B9" s="11"/>
      <c r="C9" s="12" t="s">
        <v>84</v>
      </c>
      <c r="D9" s="5">
        <f>39*8</f>
        <v>312</v>
      </c>
    </row>
    <row r="10" spans="1:9">
      <c r="A10" s="10" t="s">
        <v>85</v>
      </c>
      <c r="B10" s="11"/>
      <c r="C10" s="12" t="s">
        <v>79</v>
      </c>
      <c r="D10" s="5">
        <v>3</v>
      </c>
    </row>
    <row r="11" spans="1:9">
      <c r="A11" s="10" t="s">
        <v>86</v>
      </c>
      <c r="B11" s="11"/>
      <c r="C11" s="12" t="s">
        <v>87</v>
      </c>
      <c r="D11" s="14">
        <v>11.5</v>
      </c>
    </row>
    <row r="12" spans="1:9">
      <c r="A12" s="15" t="s">
        <v>88</v>
      </c>
      <c r="B12" s="16"/>
      <c r="C12" s="17" t="s">
        <v>89</v>
      </c>
      <c r="D12" s="5">
        <v>1</v>
      </c>
    </row>
    <row r="13" spans="1:9">
      <c r="A13" s="18" t="s">
        <v>90</v>
      </c>
      <c r="B13" s="19"/>
      <c r="C13" s="8"/>
    </row>
    <row r="14" spans="1:9">
      <c r="A14" s="10" t="s">
        <v>91</v>
      </c>
      <c r="B14" s="12" t="s">
        <v>92</v>
      </c>
      <c r="C14" s="12" t="s">
        <v>93</v>
      </c>
      <c r="D14" s="13">
        <f>(D2-D7)/D3</f>
        <v>20250</v>
      </c>
    </row>
    <row r="15" spans="1:9">
      <c r="A15" s="10" t="s">
        <v>94</v>
      </c>
      <c r="B15" s="12" t="s">
        <v>95</v>
      </c>
      <c r="C15" s="12" t="s">
        <v>93</v>
      </c>
      <c r="D15" s="5">
        <f>AVERAGE(D2,D7)*(D10/100)</f>
        <v>4462.5</v>
      </c>
    </row>
    <row r="16" spans="1:9" ht="16">
      <c r="A16" s="10" t="s">
        <v>96</v>
      </c>
      <c r="B16" s="11"/>
      <c r="C16" s="12" t="s">
        <v>97</v>
      </c>
      <c r="D16" s="5">
        <f>4.8*4.6</f>
        <v>22.08</v>
      </c>
    </row>
    <row r="17" spans="1:4">
      <c r="A17" s="10" t="s">
        <v>98</v>
      </c>
      <c r="B17" s="11"/>
      <c r="C17" s="12" t="s">
        <v>99</v>
      </c>
      <c r="D17" s="5">
        <v>100</v>
      </c>
    </row>
    <row r="18" spans="1:4">
      <c r="A18" s="10" t="s">
        <v>100</v>
      </c>
      <c r="B18" s="11"/>
      <c r="C18" s="12" t="s">
        <v>93</v>
      </c>
      <c r="D18" s="5">
        <f>D17*D16*0.02</f>
        <v>44.160000000000004</v>
      </c>
    </row>
    <row r="19" spans="1:4">
      <c r="A19" s="10" t="s">
        <v>101</v>
      </c>
      <c r="B19" s="20">
        <v>2.5000000000000001E-3</v>
      </c>
      <c r="C19" s="12" t="s">
        <v>93</v>
      </c>
      <c r="D19" s="5">
        <f>$B$19*D2</f>
        <v>625</v>
      </c>
    </row>
    <row r="20" spans="1:4">
      <c r="A20" s="10" t="s">
        <v>102</v>
      </c>
      <c r="B20" s="20"/>
      <c r="C20" s="12" t="s">
        <v>93</v>
      </c>
      <c r="D20" s="5">
        <f>D18+D19</f>
        <v>669.16</v>
      </c>
    </row>
    <row r="21" spans="1:4">
      <c r="A21" s="10" t="s">
        <v>103</v>
      </c>
      <c r="B21" s="12" t="s">
        <v>104</v>
      </c>
      <c r="C21" s="12" t="s">
        <v>93</v>
      </c>
      <c r="D21" s="13">
        <f>D14+D15+D20</f>
        <v>25381.66</v>
      </c>
    </row>
    <row r="22" spans="1:4">
      <c r="A22" s="21" t="s">
        <v>105</v>
      </c>
      <c r="B22" s="12" t="s">
        <v>106</v>
      </c>
      <c r="C22" s="22" t="s">
        <v>87</v>
      </c>
      <c r="D22" s="13">
        <f>D21/D9</f>
        <v>81.351474358974357</v>
      </c>
    </row>
    <row r="23" spans="1:4">
      <c r="A23" s="18" t="s">
        <v>107</v>
      </c>
      <c r="B23" s="19"/>
      <c r="C23" s="8"/>
    </row>
    <row r="24" spans="1:4">
      <c r="A24" s="10" t="s">
        <v>108</v>
      </c>
      <c r="B24" s="22"/>
      <c r="C24" s="12" t="s">
        <v>79</v>
      </c>
      <c r="D24" s="5">
        <f>[2]ASAE_standards!L68</f>
        <v>40</v>
      </c>
    </row>
    <row r="25" spans="1:4">
      <c r="A25" s="10" t="s">
        <v>109</v>
      </c>
      <c r="B25" s="22"/>
      <c r="C25" s="12" t="s">
        <v>87</v>
      </c>
      <c r="D25" s="13">
        <f>D24/100*((D3*D9)/(D4^2)*D2)</f>
        <v>34.666666666666671</v>
      </c>
    </row>
    <row r="26" spans="1:4">
      <c r="A26" s="10" t="s">
        <v>110</v>
      </c>
      <c r="B26" s="12"/>
      <c r="C26" s="12" t="s">
        <v>111</v>
      </c>
      <c r="D26" s="14">
        <v>0.56999999999999995</v>
      </c>
    </row>
    <row r="27" spans="1:4">
      <c r="A27" s="23" t="s">
        <v>112</v>
      </c>
      <c r="B27" s="24"/>
      <c r="C27" s="22" t="s">
        <v>113</v>
      </c>
      <c r="D27" s="13">
        <f>'settaggi trebbia'!G5</f>
        <v>25</v>
      </c>
    </row>
    <row r="28" spans="1:4">
      <c r="A28" s="10" t="s">
        <v>114</v>
      </c>
      <c r="B28" s="11"/>
      <c r="C28" s="12" t="s">
        <v>87</v>
      </c>
      <c r="D28" s="13">
        <f>D27*D26</f>
        <v>14.249999999999998</v>
      </c>
    </row>
    <row r="29" spans="1:4">
      <c r="A29" s="10" t="s">
        <v>115</v>
      </c>
      <c r="B29" s="11"/>
      <c r="C29" s="12" t="s">
        <v>116</v>
      </c>
      <c r="D29" s="13">
        <v>3.0249999999999999</v>
      </c>
    </row>
    <row r="30" spans="1:4">
      <c r="A30" s="10" t="s">
        <v>117</v>
      </c>
      <c r="B30" s="11"/>
      <c r="C30" s="12" t="s">
        <v>113</v>
      </c>
      <c r="D30" s="13">
        <f>0.00059*I2+0.2169</f>
        <v>0.32074000000000003</v>
      </c>
    </row>
    <row r="31" spans="1:4">
      <c r="A31" s="10" t="s">
        <v>117</v>
      </c>
      <c r="B31" s="11"/>
      <c r="C31" s="12" t="s">
        <v>87</v>
      </c>
      <c r="D31" s="13">
        <f>D30*D29</f>
        <v>0.9702385</v>
      </c>
    </row>
    <row r="32" spans="1:4">
      <c r="A32" s="10" t="s">
        <v>118</v>
      </c>
      <c r="B32" s="11"/>
      <c r="C32" s="12" t="s">
        <v>87</v>
      </c>
      <c r="D32" s="5">
        <f>D11*D12</f>
        <v>11.5</v>
      </c>
    </row>
    <row r="33" spans="1:9" ht="15" thickBot="1">
      <c r="A33" s="21" t="s">
        <v>119</v>
      </c>
      <c r="B33" s="24"/>
      <c r="C33" s="22" t="s">
        <v>87</v>
      </c>
      <c r="D33" s="13">
        <f>D25+D28+D31+D32</f>
        <v>61.386905166666672</v>
      </c>
    </row>
    <row r="34" spans="1:9">
      <c r="A34" s="25" t="s">
        <v>120</v>
      </c>
      <c r="B34" s="26" t="s">
        <v>121</v>
      </c>
      <c r="C34" s="27" t="s">
        <v>93</v>
      </c>
      <c r="D34" s="13">
        <f>D33*D9+D21</f>
        <v>44534.374412000005</v>
      </c>
    </row>
    <row r="35" spans="1:9">
      <c r="A35" s="21" t="s">
        <v>122</v>
      </c>
      <c r="B35" s="24"/>
      <c r="C35" s="22" t="s">
        <v>87</v>
      </c>
      <c r="D35" s="13">
        <f>D33+D22</f>
        <v>142.73837952564102</v>
      </c>
    </row>
    <row r="36" spans="1:9">
      <c r="A36" s="23" t="s">
        <v>123</v>
      </c>
      <c r="B36" s="28"/>
      <c r="C36" s="29" t="s">
        <v>124</v>
      </c>
      <c r="D36" s="13">
        <f>tempi!B36</f>
        <v>2.0531496337489594</v>
      </c>
    </row>
    <row r="37" spans="1:9">
      <c r="A37" s="23" t="s">
        <v>125</v>
      </c>
      <c r="B37" s="28"/>
      <c r="C37" s="29" t="s">
        <v>126</v>
      </c>
      <c r="D37" s="13">
        <f>tempi!B38</f>
        <v>1.8241690826953367</v>
      </c>
    </row>
    <row r="38" spans="1:9">
      <c r="A38" s="21" t="s">
        <v>127</v>
      </c>
      <c r="B38" s="24"/>
      <c r="C38" s="22" t="s">
        <v>128</v>
      </c>
      <c r="D38" s="13">
        <f>D35/D36</f>
        <v>69.521664266138814</v>
      </c>
    </row>
    <row r="39" spans="1:9">
      <c r="A39" s="21" t="s">
        <v>129</v>
      </c>
      <c r="B39" s="22"/>
      <c r="C39" s="22" t="s">
        <v>130</v>
      </c>
      <c r="D39" s="13">
        <f>D38/I40</f>
        <v>78.248436989588228</v>
      </c>
      <c r="E39" s="30"/>
    </row>
    <row r="40" spans="1:9" ht="15.5">
      <c r="H40" s="5" t="s">
        <v>131</v>
      </c>
      <c r="I40" s="13">
        <f>tempi!B33</f>
        <v>0.8884735202492211</v>
      </c>
    </row>
    <row r="41" spans="1:9">
      <c r="I41" s="13"/>
    </row>
  </sheetData>
  <pageMargins left="0.7" right="0.7" top="0.75" bottom="0.75" header="0.3" footer="0.3"/>
  <pageSetup paperSize="9" orientation="portrait" r:id="rId1"/>
  <drawing r:id="rId2"/>
  <legacyDrawing r:id="rId3"/>
  <oleObjects>
    <oleObject shapeId="5121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B2:AL183"/>
  <sheetViews>
    <sheetView zoomScale="90" zoomScaleNormal="90" workbookViewId="0">
      <selection activeCell="S83" sqref="S83"/>
    </sheetView>
  </sheetViews>
  <sheetFormatPr defaultColWidth="9.1796875" defaultRowHeight="14.5"/>
  <cols>
    <col min="1" max="9" width="9.1796875" style="1"/>
    <col min="10" max="10" width="26.54296875" style="1" customWidth="1"/>
    <col min="11" max="11" width="12.26953125" style="1" customWidth="1"/>
    <col min="12" max="12" width="11.54296875" style="1" bestFit="1" customWidth="1"/>
    <col min="13" max="13" width="11.54296875" style="1" customWidth="1"/>
    <col min="14" max="14" width="16.1796875" style="1" customWidth="1"/>
    <col min="15" max="15" width="12.1796875" style="1" customWidth="1"/>
    <col min="16" max="16" width="11.26953125" style="1" customWidth="1"/>
    <col min="17" max="18" width="11.54296875" style="1" bestFit="1" customWidth="1"/>
    <col min="19" max="19" width="12.453125" style="1" customWidth="1"/>
    <col min="20" max="20" width="11.7265625" style="1" bestFit="1" customWidth="1"/>
    <col min="21" max="21" width="15.54296875" style="1" customWidth="1"/>
    <col min="22" max="22" width="12" style="1" customWidth="1"/>
    <col min="23" max="23" width="10.54296875" style="1" bestFit="1" customWidth="1"/>
    <col min="24" max="25" width="11.54296875" style="1" bestFit="1" customWidth="1"/>
    <col min="26" max="29" width="9.1796875" style="1"/>
    <col min="30" max="30" width="13.7265625" style="1" bestFit="1" customWidth="1"/>
    <col min="31" max="32" width="13.7265625" style="1" customWidth="1"/>
    <col min="33" max="35" width="9.1796875" style="1"/>
    <col min="36" max="36" width="11.54296875" style="1" bestFit="1" customWidth="1"/>
    <col min="37" max="37" width="12.1796875" style="1" customWidth="1"/>
    <col min="38" max="38" width="11.54296875" style="1" bestFit="1" customWidth="1"/>
    <col min="39" max="16384" width="9.1796875" style="1"/>
  </cols>
  <sheetData>
    <row r="2" spans="2:38" ht="43.5">
      <c r="K2" s="1" t="s">
        <v>143</v>
      </c>
      <c r="L2" s="1" t="s">
        <v>144</v>
      </c>
      <c r="P2" s="1" t="s">
        <v>159</v>
      </c>
      <c r="Q2" s="1" t="s">
        <v>164</v>
      </c>
      <c r="R2" s="1" t="s">
        <v>156</v>
      </c>
      <c r="S2" s="1" t="s">
        <v>157</v>
      </c>
      <c r="T2" s="1" t="s">
        <v>158</v>
      </c>
      <c r="U2" s="1" t="s">
        <v>165</v>
      </c>
      <c r="V2" s="1" t="s">
        <v>166</v>
      </c>
      <c r="W2" s="1" t="s">
        <v>173</v>
      </c>
      <c r="X2" s="1" t="s">
        <v>174</v>
      </c>
      <c r="Y2" s="1" t="s">
        <v>180</v>
      </c>
      <c r="AC2" s="1" t="s">
        <v>191</v>
      </c>
      <c r="AD2" s="1" t="s">
        <v>182</v>
      </c>
      <c r="AE2" s="1" t="s">
        <v>184</v>
      </c>
      <c r="AF2" s="1" t="s">
        <v>187</v>
      </c>
      <c r="AH2" s="1" t="s">
        <v>191</v>
      </c>
      <c r="AI2" s="1" t="s">
        <v>183</v>
      </c>
      <c r="AJ2" s="1" t="s">
        <v>190</v>
      </c>
      <c r="AK2" s="1" t="s">
        <v>193</v>
      </c>
      <c r="AL2" s="1" t="s">
        <v>193</v>
      </c>
    </row>
    <row r="3" spans="2:38" ht="16.5">
      <c r="P3" s="1" t="s">
        <v>160</v>
      </c>
      <c r="Q3" s="1" t="s">
        <v>155</v>
      </c>
      <c r="R3" s="1" t="s">
        <v>163</v>
      </c>
      <c r="S3" s="1" t="s">
        <v>161</v>
      </c>
      <c r="T3" s="1" t="s">
        <v>162</v>
      </c>
      <c r="U3" s="1" t="s">
        <v>163</v>
      </c>
      <c r="V3" s="1" t="s">
        <v>162</v>
      </c>
      <c r="W3" s="1" t="s">
        <v>162</v>
      </c>
      <c r="X3" s="1" t="s">
        <v>175</v>
      </c>
      <c r="Y3" s="1" t="s">
        <v>181</v>
      </c>
      <c r="AC3" s="1" t="s">
        <v>160</v>
      </c>
      <c r="AD3" s="1" t="s">
        <v>161</v>
      </c>
      <c r="AE3" s="1" t="s">
        <v>186</v>
      </c>
      <c r="AF3" s="1" t="s">
        <v>189</v>
      </c>
      <c r="AH3" s="1" t="s">
        <v>160</v>
      </c>
      <c r="AI3" s="1" t="s">
        <v>192</v>
      </c>
      <c r="AJ3" s="1" t="s">
        <v>189</v>
      </c>
      <c r="AK3" s="1" t="s">
        <v>189</v>
      </c>
      <c r="AL3" s="1" t="s">
        <v>79</v>
      </c>
    </row>
    <row r="4" spans="2:38">
      <c r="J4" s="38" t="s">
        <v>146</v>
      </c>
      <c r="K4" s="1">
        <f>AVERAGE(I38,S36,B72,I72,S73)</f>
        <v>20.399999999999999</v>
      </c>
      <c r="L4" s="1">
        <f>STDEV(I38,S36,B72,I72,S73)</f>
        <v>1.5165750888103102</v>
      </c>
      <c r="O4" s="1" t="s">
        <v>149</v>
      </c>
      <c r="P4" s="1">
        <f>3*3</f>
        <v>9</v>
      </c>
      <c r="Q4" s="1">
        <f>COUNTA(B19:B43)</f>
        <v>25</v>
      </c>
      <c r="R4" s="3">
        <f>AVERAGE(C19:C43)</f>
        <v>256.16000000000003</v>
      </c>
      <c r="S4" s="3">
        <f>AVERAGE(D19:D43)</f>
        <v>7.24</v>
      </c>
      <c r="T4" s="1">
        <f>G18</f>
        <v>19.350000000000001</v>
      </c>
      <c r="U4" s="3">
        <f>R4-AVERAGE(W21:W30,W54:W63,F54:F63)</f>
        <v>236.26000000000002</v>
      </c>
      <c r="V4" s="37">
        <v>12</v>
      </c>
      <c r="W4" s="1">
        <f>1.2602+1.1723</f>
        <v>2.4325000000000001</v>
      </c>
      <c r="X4" s="37">
        <f>(W4/P4)*10</f>
        <v>2.7027777777777779</v>
      </c>
      <c r="Y4" s="37">
        <v>43.746000000000002</v>
      </c>
      <c r="AB4" s="1">
        <v>1</v>
      </c>
      <c r="AC4" s="1">
        <f>5*6</f>
        <v>30</v>
      </c>
      <c r="AD4" s="1">
        <v>11</v>
      </c>
      <c r="AE4" s="37">
        <f>(AD4/30)*10000</f>
        <v>3666.6666666666665</v>
      </c>
      <c r="AF4" s="52">
        <f>AE4*$Q$12</f>
        <v>29.250715307582258</v>
      </c>
      <c r="AG4" s="1">
        <v>1</v>
      </c>
      <c r="AH4" s="1">
        <f>20*4.8</f>
        <v>96</v>
      </c>
      <c r="AI4" s="1">
        <v>3.2753900000000002E-2</v>
      </c>
      <c r="AJ4" s="37">
        <f>(AI4/AH4)*10000</f>
        <v>3.4118645833333336</v>
      </c>
    </row>
    <row r="5" spans="2:38">
      <c r="J5" s="38" t="s">
        <v>145</v>
      </c>
      <c r="K5" s="1">
        <v>9</v>
      </c>
      <c r="O5" s="1" t="s">
        <v>150</v>
      </c>
      <c r="P5" s="1">
        <f t="shared" ref="P5:P9" si="0">3*3</f>
        <v>9</v>
      </c>
      <c r="Q5" s="1">
        <f>COUNTA(J19:J38)</f>
        <v>20</v>
      </c>
      <c r="R5" s="3">
        <f>AVERAGE(J19:J38)</f>
        <v>142.9</v>
      </c>
      <c r="S5" s="3">
        <f>AVERAGE(K19:K38)</f>
        <v>7.15</v>
      </c>
      <c r="T5" s="1">
        <f>O18</f>
        <v>10.130000000000001</v>
      </c>
      <c r="U5" s="3">
        <f>R5-AVERAGE(W21:W30,W54:W63,F54:F63)</f>
        <v>123</v>
      </c>
      <c r="V5" s="37">
        <v>4.55</v>
      </c>
      <c r="W5" s="1">
        <v>0.95350000000000001</v>
      </c>
      <c r="X5" s="37">
        <f t="shared" ref="X5:X9" si="1">(W5/P5)*10</f>
        <v>1.0594444444444444</v>
      </c>
      <c r="Y5" s="37">
        <v>37.696199999999997</v>
      </c>
      <c r="AB5" s="1">
        <v>2</v>
      </c>
      <c r="AC5" s="1">
        <f t="shared" ref="AC5:AC13" si="2">5*6</f>
        <v>30</v>
      </c>
      <c r="AD5" s="1">
        <v>5</v>
      </c>
      <c r="AE5" s="37">
        <f t="shared" ref="AE5:AE13" si="3">(AD5/30)*10000</f>
        <v>1666.6666666666665</v>
      </c>
      <c r="AF5" s="52">
        <f t="shared" ref="AF5:AF13" si="4">AE5*$Q$12</f>
        <v>13.295779685264662</v>
      </c>
      <c r="AG5" s="1">
        <v>2</v>
      </c>
      <c r="AH5" s="1">
        <f t="shared" ref="AH5:AH6" si="5">20*4.8</f>
        <v>96</v>
      </c>
      <c r="AI5" s="1">
        <v>5.8711899999999997E-2</v>
      </c>
      <c r="AJ5" s="37">
        <f t="shared" ref="AJ5:AJ6" si="6">(AI5/AH5)*10000</f>
        <v>6.1158229166666667</v>
      </c>
    </row>
    <row r="6" spans="2:38">
      <c r="J6" s="38" t="s">
        <v>147</v>
      </c>
      <c r="K6" s="36">
        <f>K4/K5*10000</f>
        <v>22666.666666666668</v>
      </c>
      <c r="O6" s="1" t="s">
        <v>151</v>
      </c>
      <c r="P6" s="1">
        <f t="shared" si="0"/>
        <v>9</v>
      </c>
      <c r="Q6" s="1">
        <f>COUNTA(T19:T36)</f>
        <v>18</v>
      </c>
      <c r="R6" s="3">
        <f>AVERAGE(T19:T38)</f>
        <v>137.16666666666666</v>
      </c>
      <c r="S6" s="3">
        <f>AVERAGE(U19:U38)</f>
        <v>7.666666666666667</v>
      </c>
      <c r="T6" s="1">
        <f>X18</f>
        <v>4.7</v>
      </c>
      <c r="U6" s="3">
        <f>R6-AVERAGE(W21:W30)</f>
        <v>121.26666666666665</v>
      </c>
      <c r="V6" s="37">
        <v>5</v>
      </c>
      <c r="W6" s="1">
        <v>0.85260000000000002</v>
      </c>
      <c r="X6" s="37">
        <f t="shared" si="1"/>
        <v>0.94733333333333336</v>
      </c>
      <c r="Y6" s="37">
        <v>35.316200000000002</v>
      </c>
      <c r="AB6" s="1">
        <v>3</v>
      </c>
      <c r="AC6" s="1">
        <f t="shared" si="2"/>
        <v>30</v>
      </c>
      <c r="AD6" s="1">
        <v>4</v>
      </c>
      <c r="AE6" s="37">
        <f t="shared" si="3"/>
        <v>1333.3333333333333</v>
      </c>
      <c r="AF6" s="52">
        <f t="shared" si="4"/>
        <v>10.636623748211731</v>
      </c>
      <c r="AG6" s="1">
        <v>3</v>
      </c>
      <c r="AH6" s="1">
        <f t="shared" si="5"/>
        <v>96</v>
      </c>
      <c r="AI6" s="1">
        <v>9.4004400000000002E-2</v>
      </c>
      <c r="AJ6" s="37">
        <f t="shared" si="6"/>
        <v>9.7921250000000004</v>
      </c>
    </row>
    <row r="7" spans="2:38">
      <c r="J7" s="1" t="s">
        <v>178</v>
      </c>
      <c r="K7" s="1">
        <v>14</v>
      </c>
      <c r="O7" s="1" t="s">
        <v>152</v>
      </c>
      <c r="P7" s="1">
        <f t="shared" si="0"/>
        <v>9</v>
      </c>
      <c r="Q7" s="1">
        <f>COUNTA(C52:C72)</f>
        <v>21</v>
      </c>
      <c r="R7" s="3">
        <f>AVERAGE(C52:C72)</f>
        <v>141.52380952380952</v>
      </c>
      <c r="S7" s="3">
        <f>AVERAGE(D52:D72)</f>
        <v>8.6190476190476186</v>
      </c>
      <c r="T7" s="1">
        <f>G51</f>
        <v>5.2</v>
      </c>
      <c r="U7" s="3">
        <f>R7-AVERAGE(F54:F63)</f>
        <v>120.62380952380951</v>
      </c>
      <c r="V7" s="37">
        <v>5.75</v>
      </c>
      <c r="W7" s="1">
        <v>1.0880999999999998</v>
      </c>
      <c r="X7" s="37">
        <f t="shared" si="1"/>
        <v>1.2089999999999999</v>
      </c>
      <c r="Y7" s="37">
        <v>36.698999999999998</v>
      </c>
      <c r="AB7" s="1">
        <v>4</v>
      </c>
      <c r="AC7" s="1">
        <f t="shared" si="2"/>
        <v>30</v>
      </c>
      <c r="AD7" s="1">
        <v>14</v>
      </c>
      <c r="AE7" s="37">
        <f t="shared" si="3"/>
        <v>4666.666666666667</v>
      </c>
      <c r="AF7" s="52">
        <f t="shared" si="4"/>
        <v>37.228183118741065</v>
      </c>
    </row>
    <row r="8" spans="2:38">
      <c r="J8" s="1" t="s">
        <v>179</v>
      </c>
      <c r="K8" s="1">
        <v>18.100000000000001</v>
      </c>
      <c r="L8" s="1">
        <f>K7/K8</f>
        <v>0.77348066298342533</v>
      </c>
      <c r="O8" s="1" t="s">
        <v>153</v>
      </c>
      <c r="P8" s="1">
        <f t="shared" si="0"/>
        <v>9</v>
      </c>
      <c r="Q8" s="1">
        <f>COUNTA(J52:J72)</f>
        <v>21</v>
      </c>
      <c r="R8" s="3">
        <f>AVERAGE(J52:J72)</f>
        <v>137.66666666666666</v>
      </c>
      <c r="S8" s="3">
        <f>AVERAGE(K52:K72)</f>
        <v>7.1904761904761907</v>
      </c>
      <c r="T8" s="1">
        <f>O51</f>
        <v>4.3499999999999996</v>
      </c>
      <c r="U8" s="3">
        <f>R8-AVERAGE(W21:W30,W54:W63,F54:F63)</f>
        <v>117.76666666666665</v>
      </c>
      <c r="V8" s="37">
        <v>6.15</v>
      </c>
      <c r="W8" s="1">
        <v>1.1642999999999999</v>
      </c>
      <c r="X8" s="37">
        <f t="shared" si="1"/>
        <v>1.2936666666666665</v>
      </c>
      <c r="Y8" s="37">
        <v>37.723799999999997</v>
      </c>
      <c r="AB8" s="1">
        <v>5</v>
      </c>
      <c r="AC8" s="1">
        <f t="shared" si="2"/>
        <v>30</v>
      </c>
      <c r="AD8" s="1">
        <v>2</v>
      </c>
      <c r="AE8" s="37">
        <f t="shared" si="3"/>
        <v>666.66666666666663</v>
      </c>
      <c r="AF8" s="52">
        <f t="shared" si="4"/>
        <v>5.3183118741058655</v>
      </c>
    </row>
    <row r="9" spans="2:38">
      <c r="J9" s="1" t="s">
        <v>199</v>
      </c>
      <c r="K9" s="1">
        <v>15.4</v>
      </c>
      <c r="O9" s="1" t="s">
        <v>154</v>
      </c>
      <c r="P9" s="1">
        <f t="shared" si="0"/>
        <v>9</v>
      </c>
      <c r="Q9" s="1">
        <f>COUNTA(T52:T73)</f>
        <v>22</v>
      </c>
      <c r="R9" s="3">
        <f>AVERAGE(T52:T73)</f>
        <v>171.77272727272728</v>
      </c>
      <c r="S9" s="3">
        <f>AVERAGE(U52:U73)</f>
        <v>6.2727272727272725</v>
      </c>
      <c r="T9" s="1">
        <f>X51</f>
        <v>3.75</v>
      </c>
      <c r="U9" s="3">
        <f>R9-AVERAGE(W54:W63)</f>
        <v>148.87272727272727</v>
      </c>
      <c r="V9" s="37">
        <v>5.3</v>
      </c>
      <c r="W9" s="1">
        <v>0.94399999999999995</v>
      </c>
      <c r="X9" s="37">
        <f t="shared" si="1"/>
        <v>1.0488888888888888</v>
      </c>
      <c r="Y9" s="37">
        <v>38.395400000000002</v>
      </c>
      <c r="AB9" s="1">
        <v>6</v>
      </c>
      <c r="AC9" s="1">
        <f t="shared" si="2"/>
        <v>30</v>
      </c>
      <c r="AD9" s="1">
        <v>12</v>
      </c>
      <c r="AE9" s="37">
        <f t="shared" si="3"/>
        <v>4000</v>
      </c>
      <c r="AF9" s="52">
        <f t="shared" si="4"/>
        <v>31.909871244635195</v>
      </c>
    </row>
    <row r="10" spans="2:38">
      <c r="K10" s="37">
        <f>K7/K9</f>
        <v>0.90909090909090906</v>
      </c>
      <c r="W10" s="1" t="s">
        <v>142</v>
      </c>
      <c r="X10" s="37">
        <f>AVERAGE(X4:X9)</f>
        <v>1.3768518518518518</v>
      </c>
      <c r="AB10" s="1">
        <v>7</v>
      </c>
      <c r="AC10" s="1">
        <f t="shared" si="2"/>
        <v>30</v>
      </c>
      <c r="AD10" s="1">
        <v>17</v>
      </c>
      <c r="AE10" s="37">
        <f t="shared" si="3"/>
        <v>5666.666666666667</v>
      </c>
      <c r="AF10" s="52">
        <f t="shared" si="4"/>
        <v>45.205650929899861</v>
      </c>
    </row>
    <row r="11" spans="2:38">
      <c r="W11" s="48" t="s">
        <v>176</v>
      </c>
      <c r="X11" s="37">
        <f>AVERAGE(X5:X9)</f>
        <v>1.1116666666666666</v>
      </c>
      <c r="Y11" s="37">
        <f>AVERAGE(Y4:Y9)</f>
        <v>38.262766666666664</v>
      </c>
      <c r="AB11" s="1">
        <v>8</v>
      </c>
      <c r="AC11" s="1">
        <f t="shared" si="2"/>
        <v>30</v>
      </c>
      <c r="AD11" s="1">
        <v>15</v>
      </c>
      <c r="AE11" s="37">
        <f t="shared" si="3"/>
        <v>5000</v>
      </c>
      <c r="AF11" s="52">
        <f t="shared" si="4"/>
        <v>39.887339055793994</v>
      </c>
    </row>
    <row r="12" spans="2:38">
      <c r="P12" s="51" t="s">
        <v>188</v>
      </c>
      <c r="Q12" s="50">
        <f>SUM(W4:W9)/(SUM(D19:D43,K19:K38,U19:U36,D52:D72,K52:K72,U52:U73))</f>
        <v>7.9774678111587984E-3</v>
      </c>
      <c r="W12" s="1" t="s">
        <v>177</v>
      </c>
      <c r="X12" s="49">
        <f>1-((K7/K8)/X11)</f>
        <v>0.30421529566708361</v>
      </c>
      <c r="AB12" s="1">
        <v>9</v>
      </c>
      <c r="AC12" s="1">
        <f t="shared" si="2"/>
        <v>30</v>
      </c>
      <c r="AD12" s="1">
        <v>22</v>
      </c>
      <c r="AE12" s="37">
        <f t="shared" si="3"/>
        <v>7333.333333333333</v>
      </c>
      <c r="AF12" s="52">
        <f t="shared" si="4"/>
        <v>58.501430615164516</v>
      </c>
    </row>
    <row r="13" spans="2:38">
      <c r="X13" s="49"/>
      <c r="AB13" s="1">
        <v>10</v>
      </c>
      <c r="AC13" s="1">
        <f t="shared" si="2"/>
        <v>30</v>
      </c>
      <c r="AD13" s="1">
        <v>6</v>
      </c>
      <c r="AE13" s="37">
        <f t="shared" si="3"/>
        <v>2000</v>
      </c>
      <c r="AF13" s="52">
        <f t="shared" si="4"/>
        <v>15.954935622317597</v>
      </c>
    </row>
    <row r="14" spans="2:38">
      <c r="AB14" s="1" t="s">
        <v>142</v>
      </c>
      <c r="AC14" s="1">
        <f>AVERAGE(AC4:AC13)</f>
        <v>30</v>
      </c>
      <c r="AD14" s="1">
        <f>AVERAGE(AD4:AD13)</f>
        <v>10.8</v>
      </c>
      <c r="AE14" s="37">
        <f>AVERAGE(AE4:AE13)</f>
        <v>3600</v>
      </c>
      <c r="AF14" s="37">
        <f>AVERAGE(AF4:AF13)</f>
        <v>28.718884120171673</v>
      </c>
      <c r="AG14" s="1" t="s">
        <v>142</v>
      </c>
      <c r="AH14" s="50">
        <f>AVERAGE(AH4:AH6)</f>
        <v>96</v>
      </c>
      <c r="AI14" s="50">
        <f>AVERAGE(AI4:AI6)</f>
        <v>6.1823400000000001E-2</v>
      </c>
      <c r="AJ14" s="50">
        <f>AVERAGE(AJ4:AJ6)</f>
        <v>6.4399375000000001</v>
      </c>
      <c r="AK14" s="37">
        <f>AF14+AJ14</f>
        <v>35.158821620171672</v>
      </c>
      <c r="AL14" s="53">
        <f>AK14/(X11*1000)</f>
        <v>3.1627125895206908E-2</v>
      </c>
    </row>
    <row r="16" spans="2:38">
      <c r="B16" s="1" t="s">
        <v>210</v>
      </c>
      <c r="C16" s="1" t="s">
        <v>24</v>
      </c>
      <c r="I16" s="1" t="s">
        <v>23</v>
      </c>
      <c r="J16" s="1" t="s">
        <v>24</v>
      </c>
      <c r="S16" s="1" t="s">
        <v>30</v>
      </c>
      <c r="T16" s="1" t="s">
        <v>24</v>
      </c>
    </row>
    <row r="18" spans="2:24" ht="43.5">
      <c r="B18" s="1" t="s">
        <v>25</v>
      </c>
      <c r="C18" s="1" t="s">
        <v>27</v>
      </c>
      <c r="D18" s="1" t="s">
        <v>26</v>
      </c>
      <c r="F18" s="1" t="s">
        <v>28</v>
      </c>
      <c r="G18" s="1">
        <f>9.85+9.5</f>
        <v>19.350000000000001</v>
      </c>
      <c r="I18" s="1" t="s">
        <v>25</v>
      </c>
      <c r="J18" s="1" t="s">
        <v>27</v>
      </c>
      <c r="K18" s="1" t="s">
        <v>26</v>
      </c>
      <c r="N18" s="1" t="s">
        <v>28</v>
      </c>
      <c r="O18" s="1">
        <v>10.130000000000001</v>
      </c>
      <c r="S18" s="1" t="s">
        <v>25</v>
      </c>
      <c r="T18" s="1" t="s">
        <v>27</v>
      </c>
      <c r="U18" s="1" t="s">
        <v>26</v>
      </c>
      <c r="W18" s="1" t="s">
        <v>28</v>
      </c>
      <c r="X18" s="1">
        <v>4.7</v>
      </c>
    </row>
    <row r="19" spans="2:24">
      <c r="B19" s="1">
        <v>1</v>
      </c>
      <c r="C19" s="1">
        <v>250</v>
      </c>
      <c r="D19" s="1">
        <v>11</v>
      </c>
      <c r="I19" s="1">
        <v>1</v>
      </c>
      <c r="J19" s="1">
        <v>138</v>
      </c>
      <c r="K19" s="1">
        <v>8</v>
      </c>
      <c r="S19" s="1">
        <v>1</v>
      </c>
      <c r="T19" s="1">
        <v>149</v>
      </c>
      <c r="U19" s="1">
        <v>3</v>
      </c>
    </row>
    <row r="20" spans="2:24">
      <c r="B20" s="1">
        <v>2</v>
      </c>
      <c r="C20" s="1">
        <v>244</v>
      </c>
      <c r="D20" s="1">
        <v>6</v>
      </c>
      <c r="I20" s="1">
        <v>2</v>
      </c>
      <c r="J20" s="1">
        <v>130</v>
      </c>
      <c r="K20" s="1">
        <v>11</v>
      </c>
      <c r="S20" s="1">
        <v>2</v>
      </c>
      <c r="T20" s="1">
        <v>139</v>
      </c>
      <c r="U20" s="1">
        <v>7</v>
      </c>
      <c r="W20" s="1" t="s">
        <v>29</v>
      </c>
    </row>
    <row r="21" spans="2:24">
      <c r="B21" s="1">
        <v>3</v>
      </c>
      <c r="C21" s="1">
        <v>273</v>
      </c>
      <c r="D21" s="1">
        <v>10</v>
      </c>
      <c r="I21" s="1">
        <v>3</v>
      </c>
      <c r="J21" s="1">
        <v>144</v>
      </c>
      <c r="K21" s="1">
        <v>4</v>
      </c>
      <c r="S21" s="1">
        <v>3</v>
      </c>
      <c r="T21" s="1">
        <v>124</v>
      </c>
      <c r="U21" s="1">
        <v>8</v>
      </c>
      <c r="W21" s="1">
        <v>16</v>
      </c>
    </row>
    <row r="22" spans="2:24">
      <c r="B22" s="1">
        <v>4</v>
      </c>
      <c r="C22" s="1">
        <v>269</v>
      </c>
      <c r="D22" s="1">
        <v>7</v>
      </c>
      <c r="I22" s="1">
        <v>4</v>
      </c>
      <c r="J22" s="1">
        <v>140</v>
      </c>
      <c r="K22" s="1">
        <v>9</v>
      </c>
      <c r="S22" s="1">
        <v>4</v>
      </c>
      <c r="T22" s="1">
        <v>143</v>
      </c>
      <c r="U22" s="1">
        <v>4</v>
      </c>
      <c r="W22" s="1">
        <v>14</v>
      </c>
    </row>
    <row r="23" spans="2:24">
      <c r="B23" s="1">
        <v>5</v>
      </c>
      <c r="C23" s="1">
        <v>263</v>
      </c>
      <c r="D23" s="1">
        <v>5</v>
      </c>
      <c r="I23" s="1">
        <v>5</v>
      </c>
      <c r="J23" s="1">
        <v>143</v>
      </c>
      <c r="K23" s="1">
        <v>6</v>
      </c>
      <c r="S23" s="1">
        <v>5</v>
      </c>
      <c r="T23" s="1">
        <v>155</v>
      </c>
      <c r="U23" s="1">
        <v>9</v>
      </c>
      <c r="W23" s="1">
        <v>13</v>
      </c>
    </row>
    <row r="24" spans="2:24">
      <c r="B24" s="1">
        <v>6</v>
      </c>
      <c r="C24" s="1">
        <v>260</v>
      </c>
      <c r="D24" s="1">
        <v>7</v>
      </c>
      <c r="I24" s="1">
        <v>6</v>
      </c>
      <c r="J24" s="1">
        <v>157</v>
      </c>
      <c r="K24" s="1">
        <v>7</v>
      </c>
      <c r="P24" s="1">
        <f>0.7*20</f>
        <v>14</v>
      </c>
      <c r="Q24" s="1">
        <f>P24/17</f>
        <v>0.82352941176470584</v>
      </c>
      <c r="S24" s="1">
        <v>6</v>
      </c>
      <c r="T24" s="1">
        <v>144</v>
      </c>
      <c r="U24" s="1">
        <v>6</v>
      </c>
      <c r="W24" s="1">
        <v>12</v>
      </c>
    </row>
    <row r="25" spans="2:24">
      <c r="B25" s="1">
        <v>7</v>
      </c>
      <c r="C25" s="1">
        <v>270</v>
      </c>
      <c r="D25" s="1">
        <v>13</v>
      </c>
      <c r="I25" s="1">
        <v>7</v>
      </c>
      <c r="J25" s="1">
        <v>168</v>
      </c>
      <c r="K25" s="1">
        <v>10</v>
      </c>
      <c r="S25" s="1">
        <v>7</v>
      </c>
      <c r="T25" s="1">
        <v>132</v>
      </c>
      <c r="U25" s="1">
        <v>7</v>
      </c>
      <c r="W25" s="1">
        <v>13</v>
      </c>
    </row>
    <row r="26" spans="2:24">
      <c r="B26" s="1">
        <v>8</v>
      </c>
      <c r="C26" s="1">
        <v>246</v>
      </c>
      <c r="D26" s="1">
        <v>3</v>
      </c>
      <c r="I26" s="1">
        <v>8</v>
      </c>
      <c r="J26" s="1">
        <v>150</v>
      </c>
      <c r="K26" s="1">
        <v>11</v>
      </c>
      <c r="S26" s="1">
        <v>8</v>
      </c>
      <c r="T26" s="1">
        <v>138</v>
      </c>
      <c r="U26" s="1">
        <v>9</v>
      </c>
      <c r="W26" s="1">
        <v>26</v>
      </c>
    </row>
    <row r="27" spans="2:24">
      <c r="B27" s="1">
        <v>9</v>
      </c>
      <c r="C27" s="1">
        <v>253</v>
      </c>
      <c r="D27" s="1">
        <v>10</v>
      </c>
      <c r="I27" s="1">
        <v>9</v>
      </c>
      <c r="J27" s="1">
        <v>123</v>
      </c>
      <c r="K27" s="1">
        <v>4</v>
      </c>
      <c r="S27" s="1">
        <v>9</v>
      </c>
      <c r="T27" s="1">
        <v>148</v>
      </c>
      <c r="U27" s="1">
        <v>10</v>
      </c>
      <c r="W27" s="1">
        <v>20</v>
      </c>
    </row>
    <row r="28" spans="2:24">
      <c r="B28" s="1">
        <v>10</v>
      </c>
      <c r="C28" s="1">
        <v>290</v>
      </c>
      <c r="D28" s="1">
        <v>11</v>
      </c>
      <c r="I28" s="1">
        <v>10</v>
      </c>
      <c r="J28" s="1">
        <v>150</v>
      </c>
      <c r="K28" s="1">
        <v>4</v>
      </c>
      <c r="S28" s="1">
        <v>10</v>
      </c>
      <c r="T28" s="1">
        <v>110</v>
      </c>
      <c r="U28" s="1">
        <v>4</v>
      </c>
      <c r="W28" s="1">
        <v>15</v>
      </c>
    </row>
    <row r="29" spans="2:24">
      <c r="B29" s="1">
        <v>11</v>
      </c>
      <c r="C29" s="1">
        <v>240</v>
      </c>
      <c r="D29" s="1">
        <v>1</v>
      </c>
      <c r="I29" s="1">
        <v>11</v>
      </c>
      <c r="J29" s="1">
        <v>156</v>
      </c>
      <c r="K29" s="1">
        <v>8</v>
      </c>
      <c r="S29" s="1">
        <v>11</v>
      </c>
      <c r="T29" s="1">
        <v>143</v>
      </c>
      <c r="U29" s="1">
        <v>3</v>
      </c>
      <c r="W29" s="1">
        <v>14</v>
      </c>
    </row>
    <row r="30" spans="2:24">
      <c r="B30" s="1">
        <v>12</v>
      </c>
      <c r="C30" s="1">
        <v>234</v>
      </c>
      <c r="D30" s="1">
        <v>3</v>
      </c>
      <c r="I30" s="1">
        <v>12</v>
      </c>
      <c r="J30" s="1">
        <v>119</v>
      </c>
      <c r="K30" s="1">
        <v>2</v>
      </c>
      <c r="S30" s="1">
        <v>12</v>
      </c>
      <c r="T30" s="1">
        <v>147</v>
      </c>
      <c r="U30" s="1">
        <v>3</v>
      </c>
      <c r="W30" s="1">
        <v>16</v>
      </c>
    </row>
    <row r="31" spans="2:24">
      <c r="B31" s="1">
        <v>13</v>
      </c>
      <c r="C31" s="1">
        <v>288</v>
      </c>
      <c r="D31" s="1">
        <v>8</v>
      </c>
      <c r="I31" s="1">
        <v>13</v>
      </c>
      <c r="J31" s="1">
        <v>66</v>
      </c>
      <c r="K31" s="1">
        <v>1</v>
      </c>
      <c r="S31" s="1">
        <v>13</v>
      </c>
      <c r="T31" s="1">
        <v>152</v>
      </c>
      <c r="U31" s="1">
        <v>4</v>
      </c>
    </row>
    <row r="32" spans="2:24">
      <c r="B32" s="1">
        <v>14</v>
      </c>
      <c r="C32" s="1">
        <v>260</v>
      </c>
      <c r="D32" s="1">
        <v>9</v>
      </c>
      <c r="I32" s="1">
        <v>14</v>
      </c>
      <c r="J32" s="1">
        <v>150</v>
      </c>
      <c r="K32" s="1">
        <v>8</v>
      </c>
      <c r="S32" s="1">
        <v>14</v>
      </c>
      <c r="T32" s="1">
        <v>165</v>
      </c>
      <c r="U32" s="1">
        <v>10</v>
      </c>
    </row>
    <row r="33" spans="2:23">
      <c r="B33" s="1">
        <v>15</v>
      </c>
      <c r="C33" s="1">
        <v>242</v>
      </c>
      <c r="D33" s="1">
        <v>9</v>
      </c>
      <c r="I33" s="1">
        <v>15</v>
      </c>
      <c r="J33" s="1">
        <v>100</v>
      </c>
      <c r="K33" s="1">
        <v>8</v>
      </c>
      <c r="S33" s="1">
        <v>15</v>
      </c>
      <c r="T33" s="1">
        <v>167</v>
      </c>
      <c r="U33" s="1">
        <v>13</v>
      </c>
    </row>
    <row r="34" spans="2:23">
      <c r="B34" s="1">
        <v>16</v>
      </c>
      <c r="C34" s="1">
        <v>263</v>
      </c>
      <c r="D34" s="1">
        <v>7</v>
      </c>
      <c r="I34" s="1">
        <v>16</v>
      </c>
      <c r="J34" s="1">
        <v>130</v>
      </c>
      <c r="K34" s="1">
        <v>1</v>
      </c>
      <c r="S34" s="1">
        <v>16</v>
      </c>
      <c r="T34" s="1">
        <v>124</v>
      </c>
      <c r="U34" s="1">
        <v>18</v>
      </c>
    </row>
    <row r="35" spans="2:23">
      <c r="B35" s="1">
        <v>17</v>
      </c>
      <c r="C35" s="1">
        <v>239</v>
      </c>
      <c r="D35" s="1">
        <v>7</v>
      </c>
      <c r="I35" s="1">
        <v>17</v>
      </c>
      <c r="J35" s="1">
        <v>164</v>
      </c>
      <c r="K35" s="1">
        <v>15</v>
      </c>
      <c r="S35" s="1">
        <v>17</v>
      </c>
      <c r="T35" s="1">
        <v>55</v>
      </c>
      <c r="U35" s="1">
        <v>9</v>
      </c>
    </row>
    <row r="36" spans="2:23">
      <c r="B36" s="1">
        <v>18</v>
      </c>
      <c r="C36" s="1">
        <v>266</v>
      </c>
      <c r="D36" s="1">
        <v>9</v>
      </c>
      <c r="I36" s="1">
        <v>18</v>
      </c>
      <c r="J36" s="1">
        <v>130</v>
      </c>
      <c r="K36" s="1">
        <v>6</v>
      </c>
      <c r="S36" s="1">
        <v>18</v>
      </c>
      <c r="T36" s="1">
        <v>134</v>
      </c>
      <c r="U36" s="1">
        <v>11</v>
      </c>
    </row>
    <row r="37" spans="2:23">
      <c r="B37" s="1">
        <v>19</v>
      </c>
      <c r="C37" s="1">
        <v>200</v>
      </c>
      <c r="D37" s="1">
        <v>1</v>
      </c>
      <c r="I37" s="1">
        <v>19</v>
      </c>
      <c r="J37" s="1">
        <v>190</v>
      </c>
      <c r="K37" s="1">
        <v>12</v>
      </c>
    </row>
    <row r="38" spans="2:23">
      <c r="B38" s="1">
        <v>20</v>
      </c>
      <c r="C38" s="1">
        <v>214</v>
      </c>
      <c r="D38" s="1">
        <v>3</v>
      </c>
      <c r="I38" s="1">
        <v>20</v>
      </c>
      <c r="J38" s="1">
        <v>210</v>
      </c>
      <c r="K38" s="1">
        <v>8</v>
      </c>
    </row>
    <row r="39" spans="2:23">
      <c r="B39" s="1">
        <v>21</v>
      </c>
      <c r="C39" s="1">
        <v>274</v>
      </c>
      <c r="D39" s="1">
        <v>12</v>
      </c>
    </row>
    <row r="40" spans="2:23">
      <c r="B40" s="1">
        <v>22</v>
      </c>
      <c r="C40" s="1">
        <v>287</v>
      </c>
      <c r="D40" s="1">
        <v>13</v>
      </c>
    </row>
    <row r="41" spans="2:23">
      <c r="B41" s="1">
        <v>23</v>
      </c>
      <c r="C41" s="1">
        <v>267</v>
      </c>
      <c r="D41" s="1">
        <v>6</v>
      </c>
    </row>
    <row r="42" spans="2:23">
      <c r="B42" s="1">
        <v>24</v>
      </c>
      <c r="C42" s="1">
        <v>262</v>
      </c>
      <c r="D42" s="1">
        <v>4</v>
      </c>
    </row>
    <row r="43" spans="2:23">
      <c r="B43" s="1">
        <v>25</v>
      </c>
      <c r="C43" s="1">
        <v>250</v>
      </c>
      <c r="D43" s="1">
        <v>6</v>
      </c>
    </row>
    <row r="44" spans="2:23">
      <c r="B44" s="1" t="s">
        <v>65</v>
      </c>
      <c r="C44" s="40">
        <f>AVERAGE(C19:C43)</f>
        <v>256.16000000000003</v>
      </c>
      <c r="D44" s="40">
        <f t="shared" ref="D44:F44" si="7">AVERAGE(D19:D43)</f>
        <v>7.24</v>
      </c>
      <c r="E44" s="40" t="e">
        <f t="shared" si="7"/>
        <v>#DIV/0!</v>
      </c>
      <c r="F44" s="40" t="e">
        <f t="shared" si="7"/>
        <v>#DIV/0!</v>
      </c>
      <c r="I44" s="1" t="s">
        <v>65</v>
      </c>
      <c r="J44" s="40">
        <f>AVERAGE(J19:J38)</f>
        <v>142.9</v>
      </c>
      <c r="K44" s="40">
        <f>AVERAGE(K19:K38)</f>
        <v>7.15</v>
      </c>
      <c r="N44" s="1" t="e">
        <f>AVERAGE(N19:N38)</f>
        <v>#DIV/0!</v>
      </c>
      <c r="S44" s="1" t="s">
        <v>65</v>
      </c>
      <c r="T44" s="39">
        <f>AVERAGE(T19:T38)</f>
        <v>137.16666666666666</v>
      </c>
      <c r="U44" s="39">
        <f>AVERAGE(U19:U37)</f>
        <v>7.666666666666667</v>
      </c>
      <c r="V44" s="3"/>
      <c r="W44" s="39">
        <f>AVERAGE(W21:W30)</f>
        <v>15.9</v>
      </c>
    </row>
    <row r="45" spans="2:23">
      <c r="B45" s="1" t="s">
        <v>148</v>
      </c>
      <c r="C45" s="3">
        <f>STDEV(C19:C43)</f>
        <v>21.365236561604771</v>
      </c>
      <c r="D45" s="3">
        <f t="shared" ref="D45:F45" si="8">STDEV(D19:D43)</f>
        <v>3.5033317475416643</v>
      </c>
      <c r="E45" s="3" t="e">
        <f t="shared" si="8"/>
        <v>#DIV/0!</v>
      </c>
      <c r="F45" s="3" t="e">
        <f t="shared" si="8"/>
        <v>#DIV/0!</v>
      </c>
      <c r="I45" s="1" t="s">
        <v>148</v>
      </c>
      <c r="J45" s="3">
        <f>STDEV(J19:J38)</f>
        <v>30.411043700395549</v>
      </c>
      <c r="K45" s="3">
        <f>STDEV(K19:K38)</f>
        <v>3.7314453246063128</v>
      </c>
      <c r="N45" s="3" t="e">
        <f>STDEV(N19:N38)</f>
        <v>#DIV/0!</v>
      </c>
      <c r="S45" s="1" t="s">
        <v>148</v>
      </c>
      <c r="T45" s="3">
        <f>STDEV(T18:T37)</f>
        <v>24.9098374141623</v>
      </c>
      <c r="U45" s="3">
        <f>STDEV(U18:U37)</f>
        <v>4</v>
      </c>
      <c r="V45" s="3"/>
      <c r="W45" s="3">
        <f>STDEV(W21:W30)</f>
        <v>4.2018514437751797</v>
      </c>
    </row>
    <row r="49" spans="2:24">
      <c r="B49" s="1" t="s">
        <v>31</v>
      </c>
      <c r="C49" s="1" t="s">
        <v>24</v>
      </c>
      <c r="I49" s="1" t="s">
        <v>32</v>
      </c>
      <c r="J49" s="1" t="s">
        <v>24</v>
      </c>
      <c r="S49" s="1" t="s">
        <v>33</v>
      </c>
      <c r="T49" s="1" t="s">
        <v>24</v>
      </c>
    </row>
    <row r="51" spans="2:24" ht="43.5">
      <c r="B51" s="1" t="s">
        <v>25</v>
      </c>
      <c r="C51" s="1" t="s">
        <v>27</v>
      </c>
      <c r="D51" s="1" t="s">
        <v>26</v>
      </c>
      <c r="F51" s="1" t="s">
        <v>28</v>
      </c>
      <c r="G51" s="1">
        <v>5.2</v>
      </c>
      <c r="I51" s="1" t="s">
        <v>25</v>
      </c>
      <c r="J51" s="1" t="s">
        <v>27</v>
      </c>
      <c r="K51" s="1" t="s">
        <v>26</v>
      </c>
      <c r="N51" s="1" t="s">
        <v>28</v>
      </c>
      <c r="O51" s="1">
        <v>4.3499999999999996</v>
      </c>
      <c r="S51" s="1" t="s">
        <v>25</v>
      </c>
      <c r="T51" s="1" t="s">
        <v>27</v>
      </c>
      <c r="U51" s="1" t="s">
        <v>26</v>
      </c>
      <c r="W51" s="1" t="s">
        <v>28</v>
      </c>
      <c r="X51" s="1">
        <v>3.75</v>
      </c>
    </row>
    <row r="52" spans="2:24">
      <c r="B52" s="1">
        <v>1</v>
      </c>
      <c r="C52" s="1">
        <v>129</v>
      </c>
      <c r="D52" s="1">
        <v>6</v>
      </c>
      <c r="I52" s="1">
        <v>1</v>
      </c>
      <c r="J52" s="1">
        <v>127</v>
      </c>
      <c r="K52" s="1">
        <v>19</v>
      </c>
      <c r="S52" s="1">
        <v>1</v>
      </c>
      <c r="T52" s="1">
        <v>150</v>
      </c>
      <c r="U52" s="1">
        <v>6</v>
      </c>
    </row>
    <row r="53" spans="2:24">
      <c r="B53" s="1">
        <v>2</v>
      </c>
      <c r="C53" s="1">
        <v>140</v>
      </c>
      <c r="D53" s="1">
        <v>7</v>
      </c>
      <c r="F53" s="1" t="s">
        <v>29</v>
      </c>
      <c r="I53" s="1">
        <v>2</v>
      </c>
      <c r="J53" s="1">
        <v>152</v>
      </c>
      <c r="K53" s="1">
        <v>14</v>
      </c>
      <c r="N53" s="1" t="s">
        <v>29</v>
      </c>
      <c r="S53" s="1">
        <v>2</v>
      </c>
      <c r="T53" s="1">
        <v>96</v>
      </c>
      <c r="U53" s="1">
        <v>9</v>
      </c>
      <c r="W53" s="1" t="s">
        <v>29</v>
      </c>
    </row>
    <row r="54" spans="2:24">
      <c r="B54" s="1">
        <v>3</v>
      </c>
      <c r="C54" s="1">
        <v>154</v>
      </c>
      <c r="D54" s="1">
        <v>12</v>
      </c>
      <c r="F54" s="1">
        <v>37</v>
      </c>
      <c r="I54" s="1">
        <v>3</v>
      </c>
      <c r="J54" s="1">
        <v>104</v>
      </c>
      <c r="K54" s="1">
        <v>5</v>
      </c>
      <c r="S54" s="1">
        <v>3</v>
      </c>
      <c r="T54" s="1">
        <v>110</v>
      </c>
      <c r="U54" s="1">
        <v>7</v>
      </c>
      <c r="W54" s="1">
        <v>22</v>
      </c>
    </row>
    <row r="55" spans="2:24">
      <c r="B55" s="1">
        <v>4</v>
      </c>
      <c r="C55" s="1">
        <v>148</v>
      </c>
      <c r="D55" s="1">
        <v>10</v>
      </c>
      <c r="F55" s="1">
        <v>29</v>
      </c>
      <c r="I55" s="1">
        <v>4</v>
      </c>
      <c r="J55" s="1">
        <v>141</v>
      </c>
      <c r="K55" s="1">
        <v>12</v>
      </c>
      <c r="S55" s="1">
        <v>4</v>
      </c>
      <c r="T55" s="1">
        <v>132</v>
      </c>
      <c r="U55" s="1">
        <v>7</v>
      </c>
      <c r="W55" s="1">
        <v>24</v>
      </c>
    </row>
    <row r="56" spans="2:24">
      <c r="B56" s="1">
        <v>5</v>
      </c>
      <c r="C56" s="1">
        <v>160</v>
      </c>
      <c r="D56" s="1">
        <v>16</v>
      </c>
      <c r="F56" s="1">
        <v>16</v>
      </c>
      <c r="I56" s="1">
        <v>5</v>
      </c>
      <c r="J56" s="1">
        <v>112</v>
      </c>
      <c r="K56" s="1">
        <v>2</v>
      </c>
      <c r="S56" s="1">
        <v>5</v>
      </c>
      <c r="T56" s="1">
        <v>125</v>
      </c>
      <c r="U56" s="1">
        <v>6</v>
      </c>
      <c r="W56" s="1">
        <v>15</v>
      </c>
    </row>
    <row r="57" spans="2:24">
      <c r="B57" s="1">
        <v>6</v>
      </c>
      <c r="C57" s="1">
        <v>142</v>
      </c>
      <c r="D57" s="1">
        <v>11</v>
      </c>
      <c r="F57" s="1">
        <v>14</v>
      </c>
      <c r="I57" s="1">
        <v>6</v>
      </c>
      <c r="J57" s="1">
        <v>108</v>
      </c>
      <c r="K57" s="1">
        <v>3</v>
      </c>
      <c r="S57" s="1">
        <v>6</v>
      </c>
      <c r="T57" s="1">
        <v>140</v>
      </c>
      <c r="U57" s="1">
        <v>6</v>
      </c>
      <c r="W57" s="1">
        <v>24</v>
      </c>
    </row>
    <row r="58" spans="2:24">
      <c r="B58" s="1">
        <v>7</v>
      </c>
      <c r="C58" s="1">
        <v>150</v>
      </c>
      <c r="D58" s="1">
        <v>4</v>
      </c>
      <c r="F58" s="1">
        <v>24</v>
      </c>
      <c r="I58" s="1">
        <v>7</v>
      </c>
      <c r="J58" s="1">
        <v>147</v>
      </c>
      <c r="K58" s="1">
        <v>8</v>
      </c>
      <c r="S58" s="1">
        <v>7</v>
      </c>
      <c r="T58" s="1">
        <v>135</v>
      </c>
      <c r="U58" s="1">
        <v>7</v>
      </c>
      <c r="W58" s="1">
        <v>19</v>
      </c>
    </row>
    <row r="59" spans="2:24">
      <c r="B59" s="1">
        <v>8</v>
      </c>
      <c r="C59" s="1">
        <v>170</v>
      </c>
      <c r="D59" s="1">
        <v>20</v>
      </c>
      <c r="F59" s="1">
        <v>25</v>
      </c>
      <c r="I59" s="1">
        <v>8</v>
      </c>
      <c r="J59" s="1">
        <v>136</v>
      </c>
      <c r="K59" s="1">
        <v>8</v>
      </c>
      <c r="S59" s="1">
        <v>8</v>
      </c>
      <c r="T59" s="1">
        <v>185</v>
      </c>
      <c r="U59" s="1">
        <v>15</v>
      </c>
      <c r="W59" s="1">
        <v>17</v>
      </c>
    </row>
    <row r="60" spans="2:24">
      <c r="B60" s="1">
        <v>9</v>
      </c>
      <c r="C60" s="1">
        <v>124</v>
      </c>
      <c r="D60" s="1">
        <v>8</v>
      </c>
      <c r="F60" s="1">
        <v>22</v>
      </c>
      <c r="I60" s="1">
        <v>9</v>
      </c>
      <c r="J60" s="1">
        <v>197</v>
      </c>
      <c r="K60" s="1">
        <v>9</v>
      </c>
      <c r="S60" s="1">
        <v>9</v>
      </c>
      <c r="T60" s="1">
        <v>101</v>
      </c>
      <c r="U60" s="1">
        <v>5</v>
      </c>
      <c r="W60" s="1">
        <v>34</v>
      </c>
    </row>
    <row r="61" spans="2:24">
      <c r="B61" s="1">
        <v>10</v>
      </c>
      <c r="C61" s="1">
        <v>132</v>
      </c>
      <c r="D61" s="1">
        <v>2</v>
      </c>
      <c r="F61" s="1">
        <v>18</v>
      </c>
      <c r="I61" s="1">
        <v>10</v>
      </c>
      <c r="J61" s="1">
        <v>103</v>
      </c>
      <c r="K61" s="1">
        <v>3</v>
      </c>
      <c r="S61" s="1">
        <v>10</v>
      </c>
      <c r="T61" s="1">
        <v>118</v>
      </c>
      <c r="U61" s="1">
        <v>13</v>
      </c>
      <c r="W61" s="1">
        <v>22</v>
      </c>
    </row>
    <row r="62" spans="2:24">
      <c r="B62" s="1">
        <v>11</v>
      </c>
      <c r="C62" s="1">
        <v>140</v>
      </c>
      <c r="D62" s="1">
        <v>5</v>
      </c>
      <c r="F62" s="1">
        <v>12</v>
      </c>
      <c r="I62" s="1">
        <v>11</v>
      </c>
      <c r="J62" s="1">
        <v>143</v>
      </c>
      <c r="K62" s="1">
        <v>3</v>
      </c>
      <c r="S62" s="1">
        <v>11</v>
      </c>
      <c r="T62" s="1">
        <v>103</v>
      </c>
      <c r="U62" s="1">
        <v>2</v>
      </c>
      <c r="W62" s="1">
        <v>32</v>
      </c>
    </row>
    <row r="63" spans="2:24">
      <c r="B63" s="1">
        <v>12</v>
      </c>
      <c r="C63" s="1">
        <v>145</v>
      </c>
      <c r="D63" s="1">
        <v>6</v>
      </c>
      <c r="F63" s="1">
        <v>12</v>
      </c>
      <c r="I63" s="1">
        <v>12</v>
      </c>
      <c r="J63" s="1">
        <v>176</v>
      </c>
      <c r="K63" s="1">
        <v>10</v>
      </c>
      <c r="S63" s="1">
        <v>12</v>
      </c>
      <c r="T63" s="1">
        <v>154</v>
      </c>
      <c r="U63" s="1">
        <v>5</v>
      </c>
      <c r="W63" s="1">
        <v>20</v>
      </c>
    </row>
    <row r="64" spans="2:24">
      <c r="B64" s="1">
        <v>13</v>
      </c>
      <c r="C64" s="1">
        <v>130</v>
      </c>
      <c r="D64" s="1">
        <v>5</v>
      </c>
      <c r="I64" s="1">
        <v>13</v>
      </c>
      <c r="J64" s="1">
        <v>152</v>
      </c>
      <c r="K64" s="1">
        <v>4</v>
      </c>
      <c r="S64" s="1">
        <v>13</v>
      </c>
      <c r="T64" s="1">
        <v>144</v>
      </c>
      <c r="U64" s="1">
        <v>6</v>
      </c>
    </row>
    <row r="65" spans="2:23">
      <c r="B65" s="1">
        <v>14</v>
      </c>
      <c r="C65" s="1">
        <v>138</v>
      </c>
      <c r="D65" s="1">
        <v>7</v>
      </c>
      <c r="I65" s="1">
        <v>14</v>
      </c>
      <c r="J65" s="1">
        <v>160</v>
      </c>
      <c r="K65" s="1">
        <v>7</v>
      </c>
      <c r="S65" s="1">
        <v>14</v>
      </c>
      <c r="T65" s="1">
        <v>115</v>
      </c>
      <c r="U65" s="1">
        <v>8</v>
      </c>
    </row>
    <row r="66" spans="2:23">
      <c r="B66" s="1">
        <v>15</v>
      </c>
      <c r="C66" s="1">
        <v>141</v>
      </c>
      <c r="D66" s="1">
        <v>9</v>
      </c>
      <c r="I66" s="1">
        <v>15</v>
      </c>
      <c r="J66" s="1">
        <v>123</v>
      </c>
      <c r="K66" s="1">
        <v>2</v>
      </c>
      <c r="S66" s="1">
        <v>15</v>
      </c>
      <c r="T66" s="1">
        <v>1227</v>
      </c>
      <c r="U66" s="1">
        <v>4</v>
      </c>
    </row>
    <row r="67" spans="2:23">
      <c r="B67" s="1">
        <v>16</v>
      </c>
      <c r="C67" s="1">
        <v>124</v>
      </c>
      <c r="D67" s="1">
        <v>3</v>
      </c>
      <c r="I67" s="1">
        <v>16</v>
      </c>
      <c r="J67" s="1">
        <v>165</v>
      </c>
      <c r="K67" s="1">
        <v>9</v>
      </c>
      <c r="S67" s="1">
        <v>16</v>
      </c>
      <c r="T67" s="1">
        <v>78</v>
      </c>
      <c r="U67" s="1">
        <v>3</v>
      </c>
    </row>
    <row r="68" spans="2:23">
      <c r="B68" s="1">
        <v>17</v>
      </c>
      <c r="C68" s="1">
        <v>154</v>
      </c>
      <c r="D68" s="1">
        <v>12</v>
      </c>
      <c r="I68" s="1">
        <v>17</v>
      </c>
      <c r="J68" s="1">
        <v>170</v>
      </c>
      <c r="K68" s="1">
        <v>18</v>
      </c>
      <c r="S68" s="1">
        <v>17</v>
      </c>
      <c r="T68" s="1">
        <v>129</v>
      </c>
      <c r="U68" s="1">
        <v>9</v>
      </c>
    </row>
    <row r="69" spans="2:23">
      <c r="B69" s="1">
        <v>18</v>
      </c>
      <c r="C69" s="1">
        <v>117</v>
      </c>
      <c r="D69" s="1">
        <v>7</v>
      </c>
      <c r="I69" s="1">
        <v>18</v>
      </c>
      <c r="J69" s="1">
        <v>130</v>
      </c>
      <c r="K69" s="1">
        <v>4</v>
      </c>
      <c r="S69" s="1">
        <v>18</v>
      </c>
      <c r="T69" s="1">
        <v>49</v>
      </c>
      <c r="U69" s="1">
        <v>1</v>
      </c>
    </row>
    <row r="70" spans="2:23">
      <c r="B70" s="1">
        <v>19</v>
      </c>
      <c r="C70" s="1">
        <v>146</v>
      </c>
      <c r="D70" s="1">
        <v>9</v>
      </c>
      <c r="I70" s="1">
        <v>19</v>
      </c>
      <c r="J70" s="1">
        <v>125</v>
      </c>
      <c r="K70" s="1">
        <v>7</v>
      </c>
      <c r="S70" s="1">
        <v>19</v>
      </c>
      <c r="T70" s="1">
        <v>140</v>
      </c>
      <c r="U70" s="1">
        <v>7</v>
      </c>
    </row>
    <row r="71" spans="2:23">
      <c r="B71" s="1">
        <v>20</v>
      </c>
      <c r="C71" s="1">
        <v>158</v>
      </c>
      <c r="D71" s="1">
        <v>16</v>
      </c>
      <c r="I71" s="1">
        <v>20</v>
      </c>
      <c r="J71" s="1">
        <v>127</v>
      </c>
      <c r="K71" s="1">
        <v>3</v>
      </c>
      <c r="S71" s="1">
        <v>20</v>
      </c>
      <c r="T71" s="1">
        <v>145</v>
      </c>
      <c r="U71" s="1">
        <v>6</v>
      </c>
    </row>
    <row r="72" spans="2:23">
      <c r="B72" s="1">
        <v>21</v>
      </c>
      <c r="C72" s="1">
        <v>130</v>
      </c>
      <c r="D72" s="1">
        <v>6</v>
      </c>
      <c r="I72" s="1">
        <v>21</v>
      </c>
      <c r="J72" s="1">
        <v>93</v>
      </c>
      <c r="K72" s="1">
        <v>1</v>
      </c>
      <c r="S72" s="1">
        <v>21</v>
      </c>
      <c r="T72" s="1">
        <v>93</v>
      </c>
      <c r="U72" s="1">
        <v>1</v>
      </c>
    </row>
    <row r="73" spans="2:23">
      <c r="S73" s="1">
        <v>22</v>
      </c>
      <c r="T73" s="1">
        <v>110</v>
      </c>
      <c r="U73" s="1">
        <v>5</v>
      </c>
    </row>
    <row r="74" spans="2:23">
      <c r="I74" s="1" t="s">
        <v>65</v>
      </c>
      <c r="J74" s="40">
        <f>AVERAGE(J52:J72)</f>
        <v>137.66666666666666</v>
      </c>
      <c r="K74" s="40">
        <f>AVERAGE(K52:K72)</f>
        <v>7.1904761904761907</v>
      </c>
      <c r="N74" s="1" t="e">
        <f>AVERAGE(N55:N64)</f>
        <v>#DIV/0!</v>
      </c>
      <c r="S74" s="1" t="s">
        <v>65</v>
      </c>
      <c r="T74" s="39">
        <f>AVERAGE(T52:T73)</f>
        <v>171.77272727272728</v>
      </c>
      <c r="U74" s="39">
        <f>AVERAGE(U52:U73)</f>
        <v>6.2727272727272725</v>
      </c>
      <c r="V74" s="39"/>
      <c r="W74" s="39">
        <f>AVERAGE(W54:W64)</f>
        <v>22.9</v>
      </c>
    </row>
    <row r="75" spans="2:23">
      <c r="I75" s="1" t="s">
        <v>148</v>
      </c>
      <c r="J75" s="3">
        <f>STDEV(J52:J72)</f>
        <v>26.788679200985897</v>
      </c>
      <c r="K75" s="3">
        <f>STDEV(K52:K72)</f>
        <v>5.144113603129771</v>
      </c>
      <c r="N75" s="3" t="e">
        <f>STDEV(N55:N64)</f>
        <v>#DIV/0!</v>
      </c>
      <c r="S75" s="1" t="s">
        <v>148</v>
      </c>
      <c r="T75" s="3">
        <f>STDEV(T52:T73)</f>
        <v>237.46938285220642</v>
      </c>
      <c r="U75" s="3">
        <f t="shared" ref="U75" si="9">STDEV(U52:U73)</f>
        <v>3.3549085316013096</v>
      </c>
      <c r="V75" s="3"/>
      <c r="W75" s="3">
        <f>STDEV(W54:W63)</f>
        <v>6.0635523141691969</v>
      </c>
    </row>
    <row r="76" spans="2:23">
      <c r="T76" s="3"/>
      <c r="U76" s="3"/>
      <c r="V76" s="3"/>
      <c r="W76" s="3"/>
    </row>
    <row r="77" spans="2:23">
      <c r="B77" s="1" t="s">
        <v>65</v>
      </c>
      <c r="C77" s="41">
        <f>AVERAGE(C52:C71)</f>
        <v>142.1</v>
      </c>
      <c r="D77" s="41">
        <f>AVERAGE(D52:D71)</f>
        <v>8.75</v>
      </c>
      <c r="E77" s="41"/>
      <c r="F77" s="42">
        <f>AVERAGE(F54:F63)</f>
        <v>20.9</v>
      </c>
    </row>
    <row r="78" spans="2:23">
      <c r="B78" s="1" t="s">
        <v>148</v>
      </c>
      <c r="C78" s="41">
        <f>STDEV(C52:C71)</f>
        <v>13.54874241590826</v>
      </c>
      <c r="D78" s="41">
        <f>STDEV(D52:D71)</f>
        <v>4.6665100224336475</v>
      </c>
      <c r="E78" s="41"/>
      <c r="F78" s="41">
        <f>STDEV(F54:F63)</f>
        <v>8.1028115833675596</v>
      </c>
    </row>
    <row r="81" spans="9:19" ht="29">
      <c r="I81" s="1" t="s">
        <v>56</v>
      </c>
      <c r="K81" s="1" t="s">
        <v>228</v>
      </c>
      <c r="M81" s="1" t="s">
        <v>229</v>
      </c>
      <c r="O81" s="1" t="s">
        <v>230</v>
      </c>
      <c r="Q81" s="1" t="s">
        <v>207</v>
      </c>
      <c r="S81" s="1" t="s">
        <v>257</v>
      </c>
    </row>
    <row r="82" spans="9:19">
      <c r="I82" s="1">
        <v>50</v>
      </c>
      <c r="K82" s="1">
        <v>138</v>
      </c>
      <c r="M82" s="1">
        <v>8</v>
      </c>
      <c r="O82" s="1">
        <f>W5/SUM(K19:K38)*1000</f>
        <v>6.6678321678321675</v>
      </c>
      <c r="Q82" s="1">
        <f>T5/9*10000</f>
        <v>11255.555555555557</v>
      </c>
      <c r="S82" s="1">
        <f>W5/T5</f>
        <v>9.4126357354392884E-2</v>
      </c>
    </row>
    <row r="83" spans="9:19">
      <c r="I83" s="1">
        <v>56</v>
      </c>
      <c r="K83" s="1">
        <v>130</v>
      </c>
      <c r="M83" s="1">
        <v>11</v>
      </c>
      <c r="O83" s="1">
        <f>W6/SUM(U19:U36)*1000</f>
        <v>6.178260869565217</v>
      </c>
      <c r="Q83" s="1">
        <f t="shared" ref="Q83:Q86" si="10">T6/9*10000</f>
        <v>5222.2222222222226</v>
      </c>
      <c r="S83" s="1">
        <f t="shared" ref="S83:S86" si="11">W6/T6</f>
        <v>0.18140425531914894</v>
      </c>
    </row>
    <row r="84" spans="9:19">
      <c r="I84" s="1">
        <v>47</v>
      </c>
      <c r="K84" s="1">
        <v>144</v>
      </c>
      <c r="M84" s="1">
        <v>4</v>
      </c>
      <c r="O84" s="1">
        <f>W7/SUM(D52:D72)*1000</f>
        <v>6.0116022099447504</v>
      </c>
      <c r="Q84" s="1">
        <f t="shared" si="10"/>
        <v>5777.7777777777783</v>
      </c>
      <c r="S84" s="1">
        <f t="shared" si="11"/>
        <v>0.20924999999999996</v>
      </c>
    </row>
    <row r="85" spans="9:19">
      <c r="I85" s="1">
        <v>52</v>
      </c>
      <c r="K85" s="1">
        <v>140</v>
      </c>
      <c r="M85" s="1">
        <v>9</v>
      </c>
      <c r="O85" s="1">
        <f>W8/SUM(K52:K72)*1000</f>
        <v>7.710596026490065</v>
      </c>
      <c r="Q85" s="1">
        <f t="shared" si="10"/>
        <v>4833.333333333333</v>
      </c>
      <c r="S85" s="1">
        <f t="shared" si="11"/>
        <v>0.26765517241379311</v>
      </c>
    </row>
    <row r="86" spans="9:19">
      <c r="I86" s="1">
        <v>58</v>
      </c>
      <c r="K86" s="1">
        <v>143</v>
      </c>
      <c r="M86" s="1">
        <v>6</v>
      </c>
      <c r="O86" s="1">
        <f>W9/SUM(U52:U73)*1000</f>
        <v>6.8405797101449277</v>
      </c>
      <c r="Q86" s="1">
        <f t="shared" si="10"/>
        <v>4166.666666666667</v>
      </c>
      <c r="S86" s="1">
        <f t="shared" si="11"/>
        <v>0.25173333333333331</v>
      </c>
    </row>
    <row r="87" spans="9:19">
      <c r="I87" s="1">
        <v>52</v>
      </c>
      <c r="K87" s="1">
        <v>157</v>
      </c>
      <c r="M87" s="1">
        <v>7</v>
      </c>
    </row>
    <row r="88" spans="9:19">
      <c r="I88" s="1">
        <v>71</v>
      </c>
      <c r="K88" s="1">
        <v>168</v>
      </c>
      <c r="M88" s="1">
        <v>10</v>
      </c>
    </row>
    <row r="89" spans="9:19">
      <c r="I89" s="1">
        <v>58</v>
      </c>
      <c r="K89" s="1">
        <v>150</v>
      </c>
      <c r="M89" s="1">
        <v>11</v>
      </c>
    </row>
    <row r="90" spans="9:19">
      <c r="I90" s="1">
        <v>74</v>
      </c>
      <c r="K90" s="1">
        <v>123</v>
      </c>
      <c r="M90" s="1">
        <v>4</v>
      </c>
    </row>
    <row r="91" spans="9:19">
      <c r="I91" s="1">
        <v>67</v>
      </c>
      <c r="K91" s="1">
        <v>150</v>
      </c>
      <c r="M91" s="1">
        <v>4</v>
      </c>
    </row>
    <row r="92" spans="9:19">
      <c r="I92" s="1">
        <v>60</v>
      </c>
      <c r="K92" s="1">
        <v>156</v>
      </c>
      <c r="M92" s="1">
        <v>8</v>
      </c>
    </row>
    <row r="93" spans="9:19">
      <c r="I93" s="1">
        <v>59</v>
      </c>
      <c r="K93" s="1">
        <v>119</v>
      </c>
      <c r="M93" s="1">
        <v>2</v>
      </c>
    </row>
    <row r="94" spans="9:19">
      <c r="I94" s="1">
        <v>56</v>
      </c>
      <c r="K94" s="1">
        <v>66</v>
      </c>
      <c r="M94" s="1">
        <v>1</v>
      </c>
    </row>
    <row r="95" spans="9:19">
      <c r="I95" s="1">
        <v>56</v>
      </c>
      <c r="K95" s="1">
        <v>150</v>
      </c>
      <c r="M95" s="1">
        <v>8</v>
      </c>
    </row>
    <row r="96" spans="9:19">
      <c r="I96" s="1">
        <v>53</v>
      </c>
      <c r="K96" s="1">
        <v>100</v>
      </c>
      <c r="M96" s="1">
        <v>8</v>
      </c>
    </row>
    <row r="97" spans="9:13">
      <c r="I97" s="1">
        <v>58</v>
      </c>
      <c r="K97" s="1">
        <v>130</v>
      </c>
      <c r="M97" s="1">
        <v>1</v>
      </c>
    </row>
    <row r="98" spans="9:13">
      <c r="I98" s="1">
        <v>46</v>
      </c>
      <c r="K98" s="1">
        <v>164</v>
      </c>
      <c r="M98" s="1">
        <v>15</v>
      </c>
    </row>
    <row r="99" spans="9:13">
      <c r="I99" s="1">
        <v>53</v>
      </c>
      <c r="K99" s="1">
        <v>130</v>
      </c>
      <c r="M99" s="1">
        <v>6</v>
      </c>
    </row>
    <row r="100" spans="9:13">
      <c r="I100" s="1">
        <v>59</v>
      </c>
      <c r="K100" s="1">
        <v>190</v>
      </c>
      <c r="M100" s="1">
        <v>12</v>
      </c>
    </row>
    <row r="101" spans="9:13">
      <c r="I101" s="1">
        <v>58</v>
      </c>
      <c r="K101" s="1">
        <v>210</v>
      </c>
      <c r="M101" s="1">
        <v>8</v>
      </c>
    </row>
    <row r="102" spans="9:13">
      <c r="I102" s="1">
        <v>59</v>
      </c>
      <c r="K102" s="1">
        <v>149</v>
      </c>
      <c r="M102" s="1">
        <v>3</v>
      </c>
    </row>
    <row r="103" spans="9:13">
      <c r="I103" s="1">
        <v>61</v>
      </c>
      <c r="K103" s="1">
        <v>139</v>
      </c>
      <c r="M103" s="1">
        <v>7</v>
      </c>
    </row>
    <row r="104" spans="9:13">
      <c r="I104" s="1">
        <v>76</v>
      </c>
      <c r="K104" s="1">
        <v>124</v>
      </c>
      <c r="M104" s="1">
        <v>8</v>
      </c>
    </row>
    <row r="105" spans="9:13">
      <c r="I105" s="1">
        <v>72</v>
      </c>
      <c r="K105" s="1">
        <v>143</v>
      </c>
      <c r="M105" s="1">
        <v>4</v>
      </c>
    </row>
    <row r="106" spans="9:13">
      <c r="I106" s="1">
        <v>71</v>
      </c>
      <c r="K106" s="1">
        <v>155</v>
      </c>
      <c r="M106" s="1">
        <v>9</v>
      </c>
    </row>
    <row r="107" spans="9:13">
      <c r="I107" s="1">
        <v>65</v>
      </c>
      <c r="K107" s="1">
        <v>144</v>
      </c>
      <c r="M107" s="1">
        <v>6</v>
      </c>
    </row>
    <row r="108" spans="9:13">
      <c r="I108" s="1">
        <v>70</v>
      </c>
      <c r="K108" s="1">
        <v>132</v>
      </c>
      <c r="M108" s="1">
        <v>7</v>
      </c>
    </row>
    <row r="109" spans="9:13">
      <c r="I109" s="1">
        <v>74</v>
      </c>
      <c r="K109" s="1">
        <v>138</v>
      </c>
      <c r="M109" s="1">
        <v>9</v>
      </c>
    </row>
    <row r="110" spans="9:13">
      <c r="I110" s="1">
        <v>76</v>
      </c>
      <c r="K110" s="1">
        <v>148</v>
      </c>
      <c r="M110" s="1">
        <v>10</v>
      </c>
    </row>
    <row r="111" spans="9:13">
      <c r="I111" s="1">
        <v>73</v>
      </c>
      <c r="K111" s="1">
        <v>110</v>
      </c>
      <c r="M111" s="1">
        <v>4</v>
      </c>
    </row>
    <row r="112" spans="9:13">
      <c r="I112" s="1">
        <v>64</v>
      </c>
      <c r="K112" s="1">
        <v>143</v>
      </c>
      <c r="M112" s="1">
        <v>3</v>
      </c>
    </row>
    <row r="113" spans="9:13">
      <c r="I113" s="1">
        <v>72</v>
      </c>
      <c r="K113" s="1">
        <v>147</v>
      </c>
      <c r="M113" s="1">
        <v>3</v>
      </c>
    </row>
    <row r="114" spans="9:13">
      <c r="I114" s="1">
        <v>70</v>
      </c>
      <c r="K114" s="1">
        <v>152</v>
      </c>
      <c r="M114" s="1">
        <v>4</v>
      </c>
    </row>
    <row r="115" spans="9:13">
      <c r="I115" s="1">
        <v>79</v>
      </c>
      <c r="K115" s="1">
        <v>165</v>
      </c>
      <c r="M115" s="1">
        <v>10</v>
      </c>
    </row>
    <row r="116" spans="9:13">
      <c r="I116" s="1">
        <v>61</v>
      </c>
      <c r="K116" s="1">
        <v>167</v>
      </c>
      <c r="M116" s="1">
        <v>13</v>
      </c>
    </row>
    <row r="117" spans="9:13">
      <c r="I117" s="1">
        <v>65</v>
      </c>
      <c r="K117" s="1">
        <v>124</v>
      </c>
      <c r="M117" s="1">
        <v>18</v>
      </c>
    </row>
    <row r="118" spans="9:13">
      <c r="I118" s="1">
        <v>71</v>
      </c>
      <c r="K118" s="1">
        <v>55</v>
      </c>
      <c r="M118" s="1">
        <v>9</v>
      </c>
    </row>
    <row r="119" spans="9:13">
      <c r="I119" s="1">
        <v>70</v>
      </c>
      <c r="K119" s="1">
        <v>134</v>
      </c>
      <c r="M119" s="1">
        <v>11</v>
      </c>
    </row>
    <row r="120" spans="9:13">
      <c r="I120" s="1">
        <v>75</v>
      </c>
      <c r="K120" s="1">
        <v>129</v>
      </c>
      <c r="M120" s="1">
        <v>6</v>
      </c>
    </row>
    <row r="121" spans="9:13">
      <c r="I121" s="1">
        <v>72</v>
      </c>
      <c r="K121" s="1">
        <v>140</v>
      </c>
      <c r="M121" s="1">
        <v>7</v>
      </c>
    </row>
    <row r="122" spans="9:13">
      <c r="I122" s="1">
        <v>74</v>
      </c>
      <c r="K122" s="1">
        <v>154</v>
      </c>
      <c r="M122" s="1">
        <v>12</v>
      </c>
    </row>
    <row r="123" spans="9:13">
      <c r="I123" s="1">
        <v>66</v>
      </c>
      <c r="K123" s="1">
        <v>148</v>
      </c>
      <c r="M123" s="1">
        <v>10</v>
      </c>
    </row>
    <row r="124" spans="9:13">
      <c r="I124" s="1">
        <v>58</v>
      </c>
      <c r="K124" s="1">
        <v>160</v>
      </c>
      <c r="M124" s="1">
        <v>16</v>
      </c>
    </row>
    <row r="125" spans="9:13">
      <c r="I125" s="1">
        <v>65</v>
      </c>
      <c r="K125" s="1">
        <v>142</v>
      </c>
      <c r="M125" s="1">
        <v>11</v>
      </c>
    </row>
    <row r="126" spans="9:13">
      <c r="I126" s="1">
        <v>59</v>
      </c>
      <c r="K126" s="1">
        <v>150</v>
      </c>
      <c r="M126" s="1">
        <v>4</v>
      </c>
    </row>
    <row r="127" spans="9:13">
      <c r="I127" s="1">
        <v>68</v>
      </c>
      <c r="K127" s="1">
        <v>170</v>
      </c>
      <c r="M127" s="1">
        <v>20</v>
      </c>
    </row>
    <row r="128" spans="9:13">
      <c r="I128" s="1">
        <v>69</v>
      </c>
      <c r="K128" s="1">
        <v>124</v>
      </c>
      <c r="M128" s="1">
        <v>8</v>
      </c>
    </row>
    <row r="129" spans="9:13">
      <c r="I129" s="1">
        <v>69</v>
      </c>
      <c r="K129" s="1">
        <v>132</v>
      </c>
      <c r="M129" s="1">
        <v>2</v>
      </c>
    </row>
    <row r="130" spans="9:13">
      <c r="I130" s="1">
        <v>68</v>
      </c>
      <c r="J130" s="1" t="s">
        <v>142</v>
      </c>
      <c r="K130" s="1">
        <v>140</v>
      </c>
      <c r="M130" s="1">
        <v>5</v>
      </c>
    </row>
    <row r="131" spans="9:13">
      <c r="K131" s="1">
        <v>145</v>
      </c>
      <c r="M131" s="1">
        <v>6</v>
      </c>
    </row>
    <row r="132" spans="9:13">
      <c r="K132" s="1">
        <v>130</v>
      </c>
      <c r="M132" s="1">
        <v>5</v>
      </c>
    </row>
    <row r="133" spans="9:13">
      <c r="K133" s="1">
        <v>138</v>
      </c>
      <c r="M133" s="1">
        <v>7</v>
      </c>
    </row>
    <row r="134" spans="9:13">
      <c r="K134" s="1">
        <v>141</v>
      </c>
      <c r="M134" s="1">
        <v>9</v>
      </c>
    </row>
    <row r="135" spans="9:13">
      <c r="K135" s="1">
        <v>124</v>
      </c>
      <c r="M135" s="1">
        <v>3</v>
      </c>
    </row>
    <row r="136" spans="9:13">
      <c r="K136" s="1">
        <v>154</v>
      </c>
      <c r="M136" s="1">
        <v>12</v>
      </c>
    </row>
    <row r="137" spans="9:13">
      <c r="K137" s="1">
        <v>117</v>
      </c>
      <c r="M137" s="1">
        <v>7</v>
      </c>
    </row>
    <row r="138" spans="9:13">
      <c r="K138" s="1">
        <v>146</v>
      </c>
      <c r="M138" s="1">
        <v>9</v>
      </c>
    </row>
    <row r="139" spans="9:13">
      <c r="K139" s="1">
        <v>158</v>
      </c>
      <c r="M139" s="1">
        <v>16</v>
      </c>
    </row>
    <row r="140" spans="9:13">
      <c r="K140" s="1">
        <v>130</v>
      </c>
      <c r="M140" s="1">
        <v>6</v>
      </c>
    </row>
    <row r="141" spans="9:13">
      <c r="K141" s="1">
        <v>127</v>
      </c>
      <c r="M141" s="1">
        <v>19</v>
      </c>
    </row>
    <row r="142" spans="9:13">
      <c r="K142" s="1">
        <v>152</v>
      </c>
      <c r="M142" s="1">
        <v>14</v>
      </c>
    </row>
    <row r="143" spans="9:13">
      <c r="K143" s="1">
        <v>104</v>
      </c>
      <c r="M143" s="1">
        <v>5</v>
      </c>
    </row>
    <row r="144" spans="9:13">
      <c r="K144" s="1">
        <v>141</v>
      </c>
      <c r="M144" s="1">
        <v>12</v>
      </c>
    </row>
    <row r="145" spans="11:13">
      <c r="K145" s="1">
        <v>112</v>
      </c>
      <c r="M145" s="1">
        <v>2</v>
      </c>
    </row>
    <row r="146" spans="11:13">
      <c r="K146" s="1">
        <v>108</v>
      </c>
      <c r="M146" s="1">
        <v>3</v>
      </c>
    </row>
    <row r="147" spans="11:13">
      <c r="K147" s="1">
        <v>147</v>
      </c>
      <c r="M147" s="1">
        <v>8</v>
      </c>
    </row>
    <row r="148" spans="11:13">
      <c r="K148" s="1">
        <v>136</v>
      </c>
      <c r="M148" s="1">
        <v>8</v>
      </c>
    </row>
    <row r="149" spans="11:13">
      <c r="K149" s="1">
        <v>197</v>
      </c>
      <c r="M149" s="1">
        <v>9</v>
      </c>
    </row>
    <row r="150" spans="11:13">
      <c r="K150" s="1">
        <v>103</v>
      </c>
      <c r="M150" s="1">
        <v>3</v>
      </c>
    </row>
    <row r="151" spans="11:13">
      <c r="K151" s="1">
        <v>143</v>
      </c>
      <c r="M151" s="1">
        <v>3</v>
      </c>
    </row>
    <row r="152" spans="11:13">
      <c r="K152" s="1">
        <v>176</v>
      </c>
      <c r="M152" s="1">
        <v>10</v>
      </c>
    </row>
    <row r="153" spans="11:13">
      <c r="K153" s="1">
        <v>152</v>
      </c>
      <c r="M153" s="1">
        <v>4</v>
      </c>
    </row>
    <row r="154" spans="11:13">
      <c r="K154" s="1">
        <v>160</v>
      </c>
      <c r="M154" s="1">
        <v>7</v>
      </c>
    </row>
    <row r="155" spans="11:13">
      <c r="K155" s="1">
        <v>123</v>
      </c>
      <c r="M155" s="1">
        <v>2</v>
      </c>
    </row>
    <row r="156" spans="11:13">
      <c r="K156" s="1">
        <v>165</v>
      </c>
      <c r="M156" s="1">
        <v>9</v>
      </c>
    </row>
    <row r="157" spans="11:13">
      <c r="K157" s="1">
        <v>170</v>
      </c>
      <c r="M157" s="1">
        <v>18</v>
      </c>
    </row>
    <row r="158" spans="11:13">
      <c r="K158" s="1">
        <v>130</v>
      </c>
      <c r="M158" s="1">
        <v>4</v>
      </c>
    </row>
    <row r="159" spans="11:13">
      <c r="K159" s="1">
        <v>125</v>
      </c>
      <c r="M159" s="1">
        <v>7</v>
      </c>
    </row>
    <row r="160" spans="11:13">
      <c r="K160" s="1">
        <v>127</v>
      </c>
      <c r="M160" s="1">
        <v>3</v>
      </c>
    </row>
    <row r="161" spans="11:13">
      <c r="K161" s="1">
        <v>93</v>
      </c>
      <c r="M161" s="1">
        <v>1</v>
      </c>
    </row>
    <row r="162" spans="11:13">
      <c r="K162" s="1">
        <v>150</v>
      </c>
      <c r="M162" s="1">
        <v>6</v>
      </c>
    </row>
    <row r="163" spans="11:13">
      <c r="K163" s="1">
        <v>96</v>
      </c>
      <c r="M163" s="1">
        <v>9</v>
      </c>
    </row>
    <row r="164" spans="11:13">
      <c r="K164" s="1">
        <v>110</v>
      </c>
      <c r="M164" s="1">
        <v>7</v>
      </c>
    </row>
    <row r="165" spans="11:13">
      <c r="K165" s="1">
        <v>132</v>
      </c>
      <c r="M165" s="1">
        <v>7</v>
      </c>
    </row>
    <row r="166" spans="11:13">
      <c r="K166" s="1">
        <v>125</v>
      </c>
      <c r="M166" s="1">
        <v>6</v>
      </c>
    </row>
    <row r="167" spans="11:13">
      <c r="K167" s="1">
        <v>140</v>
      </c>
      <c r="M167" s="1">
        <v>6</v>
      </c>
    </row>
    <row r="168" spans="11:13">
      <c r="K168" s="1">
        <v>135</v>
      </c>
      <c r="M168" s="1">
        <v>7</v>
      </c>
    </row>
    <row r="169" spans="11:13">
      <c r="K169" s="1">
        <v>185</v>
      </c>
      <c r="M169" s="1">
        <v>15</v>
      </c>
    </row>
    <row r="170" spans="11:13">
      <c r="K170" s="1">
        <v>101</v>
      </c>
      <c r="M170" s="1">
        <v>5</v>
      </c>
    </row>
    <row r="171" spans="11:13">
      <c r="K171" s="1">
        <v>118</v>
      </c>
      <c r="M171" s="1">
        <v>13</v>
      </c>
    </row>
    <row r="172" spans="11:13">
      <c r="K172" s="1">
        <v>103</v>
      </c>
      <c r="M172" s="1">
        <v>2</v>
      </c>
    </row>
    <row r="173" spans="11:13">
      <c r="K173" s="1">
        <v>154</v>
      </c>
      <c r="M173" s="1">
        <v>5</v>
      </c>
    </row>
    <row r="174" spans="11:13">
      <c r="K174" s="1">
        <v>144</v>
      </c>
      <c r="M174" s="1">
        <v>6</v>
      </c>
    </row>
    <row r="175" spans="11:13">
      <c r="K175" s="1">
        <v>115</v>
      </c>
      <c r="M175" s="1">
        <v>8</v>
      </c>
    </row>
    <row r="176" spans="11:13">
      <c r="K176" s="1">
        <v>1227</v>
      </c>
      <c r="M176" s="1">
        <v>4</v>
      </c>
    </row>
    <row r="177" spans="11:13">
      <c r="K177" s="1">
        <v>78</v>
      </c>
      <c r="M177" s="1">
        <v>3</v>
      </c>
    </row>
    <row r="178" spans="11:13">
      <c r="K178" s="1">
        <v>129</v>
      </c>
      <c r="M178" s="1">
        <v>9</v>
      </c>
    </row>
    <row r="179" spans="11:13">
      <c r="K179" s="1">
        <v>49</v>
      </c>
      <c r="M179" s="1">
        <v>1</v>
      </c>
    </row>
    <row r="180" spans="11:13">
      <c r="K180" s="1">
        <v>140</v>
      </c>
      <c r="M180" s="1">
        <v>7</v>
      </c>
    </row>
    <row r="181" spans="11:13">
      <c r="K181" s="1">
        <v>145</v>
      </c>
      <c r="M181" s="1">
        <v>6</v>
      </c>
    </row>
    <row r="182" spans="11:13">
      <c r="K182" s="1">
        <v>93</v>
      </c>
      <c r="M182" s="1">
        <v>1</v>
      </c>
    </row>
    <row r="183" spans="11:13">
      <c r="K183" s="1">
        <v>110</v>
      </c>
      <c r="M183" s="1">
        <v>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"/>
  <sheetViews>
    <sheetView topLeftCell="A4" workbookViewId="0">
      <selection activeCell="D22" sqref="D22"/>
    </sheetView>
  </sheetViews>
  <sheetFormatPr defaultColWidth="9.1796875" defaultRowHeight="14.5"/>
  <cols>
    <col min="1" max="1" width="10.54296875" style="1" customWidth="1"/>
    <col min="2" max="3" width="9.1796875" style="1"/>
    <col min="4" max="4" width="11.36328125" style="1" bestFit="1" customWidth="1"/>
    <col min="5" max="16384" width="9.1796875" style="1"/>
  </cols>
  <sheetData>
    <row r="1" spans="1:9">
      <c r="A1" s="1" t="s">
        <v>34</v>
      </c>
      <c r="B1" s="1" t="s">
        <v>35</v>
      </c>
      <c r="C1" s="1" t="s">
        <v>36</v>
      </c>
      <c r="D1" s="1" t="s">
        <v>37</v>
      </c>
      <c r="H1" s="1" t="s">
        <v>38</v>
      </c>
      <c r="I1" s="1" t="s">
        <v>39</v>
      </c>
    </row>
    <row r="2" spans="1:9">
      <c r="A2" s="1" t="s">
        <v>42</v>
      </c>
      <c r="B2" s="1">
        <v>64</v>
      </c>
      <c r="C2" s="1">
        <v>53.3</v>
      </c>
      <c r="D2" s="4">
        <f>1-(C2/B2)</f>
        <v>0.16718750000000004</v>
      </c>
      <c r="H2" s="1" t="s">
        <v>41</v>
      </c>
      <c r="I2" s="1" t="s">
        <v>40</v>
      </c>
    </row>
    <row r="3" spans="1:9">
      <c r="A3" s="1" t="s">
        <v>43</v>
      </c>
      <c r="B3" s="1">
        <v>85.7</v>
      </c>
      <c r="C3" s="1">
        <v>70.3</v>
      </c>
      <c r="D3" s="4">
        <f t="shared" ref="D3:D13" si="0">1-(C3/B3)</f>
        <v>0.17969661610268384</v>
      </c>
    </row>
    <row r="4" spans="1:9">
      <c r="A4" s="1" t="s">
        <v>44</v>
      </c>
      <c r="B4" s="1">
        <v>39.799999999999997</v>
      </c>
      <c r="C4" s="1">
        <v>33.4</v>
      </c>
      <c r="D4" s="4">
        <f t="shared" si="0"/>
        <v>0.16080402010050254</v>
      </c>
    </row>
    <row r="5" spans="1:9">
      <c r="A5" s="1" t="s">
        <v>45</v>
      </c>
      <c r="B5" s="1">
        <v>122.1</v>
      </c>
      <c r="C5" s="1">
        <v>65.099999999999994</v>
      </c>
      <c r="D5" s="4">
        <f t="shared" si="0"/>
        <v>0.46683046683046681</v>
      </c>
    </row>
    <row r="6" spans="1:9">
      <c r="A6" s="1" t="s">
        <v>46</v>
      </c>
      <c r="B6" s="1">
        <v>24.4</v>
      </c>
      <c r="C6" s="1">
        <v>20.8</v>
      </c>
      <c r="D6" s="4">
        <f t="shared" si="0"/>
        <v>0.14754098360655732</v>
      </c>
    </row>
    <row r="7" spans="1:9">
      <c r="A7" s="1" t="s">
        <v>47</v>
      </c>
      <c r="B7" s="1">
        <v>146.80000000000001</v>
      </c>
      <c r="C7" s="1">
        <v>66.2</v>
      </c>
      <c r="D7" s="4">
        <f t="shared" si="0"/>
        <v>0.54904632152588562</v>
      </c>
    </row>
    <row r="8" spans="1:9">
      <c r="A8" s="1" t="s">
        <v>48</v>
      </c>
      <c r="B8" s="1">
        <v>66.400000000000006</v>
      </c>
      <c r="C8" s="1">
        <v>58.7</v>
      </c>
      <c r="D8" s="4">
        <f t="shared" si="0"/>
        <v>0.11596385542168675</v>
      </c>
    </row>
    <row r="9" spans="1:9">
      <c r="A9" s="1" t="s">
        <v>49</v>
      </c>
      <c r="B9" s="1">
        <v>86.8</v>
      </c>
      <c r="C9" s="1">
        <v>71.8</v>
      </c>
      <c r="D9" s="4">
        <f t="shared" si="0"/>
        <v>0.17281105990783407</v>
      </c>
    </row>
    <row r="10" spans="1:9">
      <c r="A10" s="1" t="s">
        <v>50</v>
      </c>
      <c r="B10" s="1">
        <v>24.9</v>
      </c>
      <c r="C10" s="1">
        <v>21.3</v>
      </c>
      <c r="D10" s="4">
        <f t="shared" si="0"/>
        <v>0.14457831325301196</v>
      </c>
    </row>
    <row r="11" spans="1:9">
      <c r="A11" s="1" t="s">
        <v>51</v>
      </c>
      <c r="B11" s="1">
        <v>102.8</v>
      </c>
      <c r="C11" s="1">
        <v>44.1</v>
      </c>
      <c r="D11" s="4">
        <f t="shared" si="0"/>
        <v>0.57101167315175094</v>
      </c>
    </row>
    <row r="12" spans="1:9">
      <c r="A12" s="1" t="s">
        <v>52</v>
      </c>
      <c r="B12" s="1">
        <v>40</v>
      </c>
      <c r="C12" s="1">
        <v>34.6</v>
      </c>
      <c r="D12" s="4">
        <f t="shared" si="0"/>
        <v>0.13500000000000001</v>
      </c>
    </row>
    <row r="13" spans="1:9">
      <c r="A13" s="1" t="s">
        <v>53</v>
      </c>
      <c r="B13" s="1">
        <v>124.7</v>
      </c>
      <c r="C13" s="1">
        <v>69.8</v>
      </c>
      <c r="D13" s="4">
        <f t="shared" si="0"/>
        <v>0.44025661587810749</v>
      </c>
    </row>
    <row r="15" spans="1:9">
      <c r="A15" s="72" t="s">
        <v>307</v>
      </c>
      <c r="B15" s="72"/>
      <c r="C15" s="72"/>
      <c r="D15" s="72"/>
    </row>
    <row r="16" spans="1:9">
      <c r="A16" s="1" t="s">
        <v>34</v>
      </c>
      <c r="B16" s="1" t="s">
        <v>35</v>
      </c>
      <c r="C16" s="1" t="s">
        <v>36</v>
      </c>
      <c r="D16" s="1" t="s">
        <v>37</v>
      </c>
    </row>
    <row r="17" spans="1:4">
      <c r="A17" s="1">
        <v>1</v>
      </c>
      <c r="B17" s="1">
        <v>21.882999999999999</v>
      </c>
      <c r="C17" s="1">
        <v>20.612200000000001</v>
      </c>
      <c r="D17" s="4">
        <f>1-(C17/B17)</f>
        <v>5.8072476351505586E-2</v>
      </c>
    </row>
    <row r="18" spans="1:4">
      <c r="A18" s="1">
        <v>2</v>
      </c>
      <c r="B18" s="1">
        <v>18.848099999999999</v>
      </c>
      <c r="C18" s="1">
        <v>17.741800000000001</v>
      </c>
      <c r="D18" s="4">
        <f t="shared" ref="D18:D22" si="1">1-(C18/B18)</f>
        <v>5.8695571436908622E-2</v>
      </c>
    </row>
    <row r="19" spans="1:4">
      <c r="A19" s="1">
        <v>3</v>
      </c>
      <c r="B19" s="1">
        <v>17.658100000000001</v>
      </c>
      <c r="C19" s="1">
        <v>16.6251</v>
      </c>
      <c r="D19" s="4">
        <f t="shared" si="1"/>
        <v>5.8500065125919654E-2</v>
      </c>
    </row>
    <row r="20" spans="1:4">
      <c r="A20" s="1">
        <v>4</v>
      </c>
      <c r="B20" s="1">
        <v>18.3415</v>
      </c>
      <c r="C20" s="1">
        <v>17.281400000000001</v>
      </c>
      <c r="D20" s="4">
        <f t="shared" si="1"/>
        <v>5.7797890030804377E-2</v>
      </c>
    </row>
    <row r="21" spans="1:4">
      <c r="A21" s="1">
        <v>5</v>
      </c>
      <c r="B21" s="1">
        <v>18.861899999999999</v>
      </c>
      <c r="C21" s="1">
        <v>17.7681</v>
      </c>
      <c r="D21" s="4">
        <f t="shared" si="1"/>
        <v>5.7989916180236301E-2</v>
      </c>
    </row>
    <row r="22" spans="1:4">
      <c r="A22" s="1">
        <v>6</v>
      </c>
      <c r="B22" s="1">
        <v>19.197700000000001</v>
      </c>
      <c r="C22" s="1">
        <v>18.079999999999998</v>
      </c>
      <c r="D22" s="4">
        <f t="shared" si="1"/>
        <v>5.822051599931255E-2</v>
      </c>
    </row>
  </sheetData>
  <mergeCells count="1">
    <mergeCell ref="A15:D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3"/>
  <sheetViews>
    <sheetView workbookViewId="0">
      <selection activeCell="B15" sqref="B15"/>
    </sheetView>
  </sheetViews>
  <sheetFormatPr defaultColWidth="9.1796875" defaultRowHeight="14"/>
  <cols>
    <col min="1" max="1" width="19.81640625" style="31" customWidth="1"/>
    <col min="2" max="2" width="11.54296875" style="31" bestFit="1" customWidth="1"/>
    <col min="3" max="8" width="9.1796875" style="31"/>
    <col min="9" max="9" width="11.1796875" style="31" bestFit="1" customWidth="1"/>
    <col min="10" max="16384" width="9.1796875" style="31"/>
  </cols>
  <sheetData>
    <row r="1" spans="1:20">
      <c r="A1" s="32" t="s">
        <v>132</v>
      </c>
      <c r="B1" s="32">
        <f>(AVERAGE('plot biomassa'!X18,'plot biomassa'!G51,'plot biomassa'!O51,'plot biomassa'!O18,'plot biomassa'!X51))/9000*10000</f>
        <v>6.2511111111111113</v>
      </c>
    </row>
    <row r="2" spans="1:20">
      <c r="A2" s="32" t="s">
        <v>133</v>
      </c>
      <c r="B2" s="33">
        <f>tempi!B33</f>
        <v>0.8884735202492211</v>
      </c>
    </row>
    <row r="5" spans="1:20" ht="28">
      <c r="A5" s="32" t="s">
        <v>1</v>
      </c>
      <c r="B5" s="32" t="s">
        <v>2</v>
      </c>
      <c r="G5" s="31" t="s">
        <v>194</v>
      </c>
      <c r="H5" s="31" t="s">
        <v>198</v>
      </c>
    </row>
    <row r="6" spans="1:20" ht="28">
      <c r="A6" s="32" t="s">
        <v>134</v>
      </c>
      <c r="B6" s="32">
        <v>23.7</v>
      </c>
      <c r="G6" s="31" t="s">
        <v>195</v>
      </c>
      <c r="H6" s="31">
        <v>18.100000000000001</v>
      </c>
    </row>
    <row r="7" spans="1:20" ht="28">
      <c r="A7" s="32" t="s">
        <v>135</v>
      </c>
      <c r="B7" s="32">
        <v>800</v>
      </c>
      <c r="G7" s="31" t="s">
        <v>197</v>
      </c>
      <c r="H7" s="31">
        <v>2.7</v>
      </c>
    </row>
    <row r="8" spans="1:20">
      <c r="A8" s="32" t="s">
        <v>136</v>
      </c>
      <c r="B8" s="32">
        <v>420</v>
      </c>
      <c r="G8" s="31" t="s">
        <v>196</v>
      </c>
      <c r="H8" s="31">
        <f>H6-H7</f>
        <v>15.400000000000002</v>
      </c>
    </row>
    <row r="9" spans="1:20" ht="28">
      <c r="A9" s="32" t="s">
        <v>6</v>
      </c>
      <c r="B9" s="32">
        <v>5</v>
      </c>
    </row>
    <row r="10" spans="1:20">
      <c r="A10" s="32" t="s">
        <v>7</v>
      </c>
      <c r="B10" s="32">
        <v>4</v>
      </c>
    </row>
    <row r="13" spans="1:20">
      <c r="A13" s="33" t="s">
        <v>67</v>
      </c>
      <c r="B13" s="33">
        <f>tempi!B34</f>
        <v>4.9203084790465041</v>
      </c>
    </row>
    <row r="14" spans="1:20" ht="28">
      <c r="A14" s="33" t="s">
        <v>137</v>
      </c>
      <c r="B14" s="34">
        <f>tempi!B35</f>
        <v>2.3617480699423217</v>
      </c>
    </row>
    <row r="15" spans="1:20" ht="56">
      <c r="A15" s="33" t="s">
        <v>141</v>
      </c>
      <c r="B15" s="34">
        <f>tempi!B36</f>
        <v>2.0531496337489594</v>
      </c>
      <c r="H15" s="31" t="s">
        <v>14</v>
      </c>
      <c r="I15" s="31" t="s">
        <v>201</v>
      </c>
      <c r="J15" s="31" t="s">
        <v>202</v>
      </c>
      <c r="K15" s="31" t="s">
        <v>203</v>
      </c>
      <c r="L15" s="31" t="s">
        <v>174</v>
      </c>
      <c r="M15" s="31" t="s">
        <v>180</v>
      </c>
      <c r="Q15" s="31" t="s">
        <v>166</v>
      </c>
      <c r="R15" s="31" t="s">
        <v>173</v>
      </c>
      <c r="S15" s="31" t="s">
        <v>165</v>
      </c>
      <c r="T15" s="31" t="s">
        <v>158</v>
      </c>
    </row>
    <row r="16" spans="1:20" ht="28">
      <c r="A16" s="33" t="s">
        <v>138</v>
      </c>
      <c r="B16" s="35">
        <f>tempi!B37</f>
        <v>0.87244410165708974</v>
      </c>
      <c r="I16" s="31" t="s">
        <v>185</v>
      </c>
      <c r="J16" s="31" t="s">
        <v>163</v>
      </c>
      <c r="K16" s="31" t="s">
        <v>161</v>
      </c>
      <c r="L16" s="31" t="s">
        <v>200</v>
      </c>
      <c r="M16" s="31" t="s">
        <v>181</v>
      </c>
      <c r="Q16" s="31" t="s">
        <v>162</v>
      </c>
      <c r="R16" s="31" t="s">
        <v>162</v>
      </c>
      <c r="S16" s="31" t="s">
        <v>163</v>
      </c>
      <c r="T16" s="31" t="s">
        <v>162</v>
      </c>
    </row>
    <row r="17" spans="1:20">
      <c r="A17" s="33" t="s">
        <v>139</v>
      </c>
      <c r="B17" s="34">
        <f>tempi!B38</f>
        <v>1.8241690826953367</v>
      </c>
      <c r="H17" s="31">
        <v>1</v>
      </c>
      <c r="I17" s="54">
        <v>27777.777777777777</v>
      </c>
      <c r="J17" s="55">
        <v>256.16000000000003</v>
      </c>
      <c r="K17" s="55">
        <v>7.24</v>
      </c>
      <c r="L17" s="55">
        <v>2.7027777777777779</v>
      </c>
      <c r="M17" s="55">
        <v>43.746000000000002</v>
      </c>
      <c r="Q17" s="55">
        <v>12</v>
      </c>
      <c r="R17" s="55">
        <v>2.4325000000000001</v>
      </c>
      <c r="S17" s="55">
        <v>236.26000000000002</v>
      </c>
      <c r="T17" s="55">
        <v>19.350000000000001</v>
      </c>
    </row>
    <row r="18" spans="1:20">
      <c r="A18" s="32" t="s">
        <v>87</v>
      </c>
      <c r="B18" s="33">
        <f>'costi campo 2'!D35</f>
        <v>142.73837952564102</v>
      </c>
      <c r="H18" s="31">
        <v>2</v>
      </c>
      <c r="I18" s="54">
        <v>22222.222222222223</v>
      </c>
      <c r="J18" s="55">
        <v>142.9</v>
      </c>
      <c r="K18" s="55">
        <v>7.15</v>
      </c>
      <c r="L18" s="55">
        <v>1.0594444444444444</v>
      </c>
      <c r="M18" s="55">
        <v>37.696199999999997</v>
      </c>
      <c r="Q18" s="55">
        <v>4.55</v>
      </c>
      <c r="R18" s="55">
        <v>0.95350000000000001</v>
      </c>
      <c r="S18" s="55">
        <v>123</v>
      </c>
      <c r="T18" s="55">
        <v>10.130000000000001</v>
      </c>
    </row>
    <row r="19" spans="1:20">
      <c r="A19" s="32" t="s">
        <v>128</v>
      </c>
      <c r="B19" s="33">
        <f>'costi campo 2'!D38</f>
        <v>69.521664266138814</v>
      </c>
      <c r="H19" s="31">
        <v>3</v>
      </c>
      <c r="I19" s="54">
        <v>20000</v>
      </c>
      <c r="J19" s="55">
        <v>137.16666666666666</v>
      </c>
      <c r="K19" s="55">
        <v>7.666666666666667</v>
      </c>
      <c r="L19" s="55">
        <v>0.94733333333333336</v>
      </c>
      <c r="M19" s="55">
        <v>35.316200000000002</v>
      </c>
      <c r="Q19" s="55">
        <v>5</v>
      </c>
      <c r="R19" s="55">
        <v>0.85260000000000002</v>
      </c>
      <c r="S19" s="55">
        <v>121.26666666666665</v>
      </c>
      <c r="T19" s="55">
        <v>4.7</v>
      </c>
    </row>
    <row r="20" spans="1:20">
      <c r="A20" s="32" t="s">
        <v>140</v>
      </c>
      <c r="B20" s="33">
        <f>'costi campo 2'!D39</f>
        <v>78.248436989588228</v>
      </c>
      <c r="H20" s="31">
        <v>4</v>
      </c>
      <c r="I20" s="54">
        <v>23333.333333333336</v>
      </c>
      <c r="J20" s="55">
        <v>141.52380952380952</v>
      </c>
      <c r="K20" s="55">
        <v>8.6190476190476186</v>
      </c>
      <c r="L20" s="55">
        <v>1.2089999999999999</v>
      </c>
      <c r="M20" s="55">
        <v>36.698999999999998</v>
      </c>
      <c r="Q20" s="55">
        <v>5.75</v>
      </c>
      <c r="R20" s="55">
        <v>1.0880999999999998</v>
      </c>
      <c r="S20" s="55">
        <v>120.62380952380951</v>
      </c>
      <c r="T20" s="55">
        <v>5.2</v>
      </c>
    </row>
    <row r="21" spans="1:20">
      <c r="H21" s="31">
        <v>5</v>
      </c>
      <c r="I21" s="54">
        <v>23333.333333333336</v>
      </c>
      <c r="J21" s="55">
        <v>137.66666666666666</v>
      </c>
      <c r="K21" s="55">
        <v>7.1904761904761907</v>
      </c>
      <c r="L21" s="55">
        <v>1.2936666666666665</v>
      </c>
      <c r="M21" s="55">
        <v>37.723799999999997</v>
      </c>
      <c r="Q21" s="55">
        <v>6.15</v>
      </c>
      <c r="R21" s="55">
        <v>1.1642999999999999</v>
      </c>
      <c r="S21" s="55">
        <v>117.76666666666665</v>
      </c>
      <c r="T21" s="55">
        <v>4.3499999999999996</v>
      </c>
    </row>
    <row r="22" spans="1:20">
      <c r="H22" s="31">
        <v>6</v>
      </c>
      <c r="I22" s="54">
        <v>24444.444444444445</v>
      </c>
      <c r="J22" s="55">
        <v>171.77272727272728</v>
      </c>
      <c r="K22" s="55">
        <v>6.2727272727272725</v>
      </c>
      <c r="L22" s="55">
        <v>1.0488888888888888</v>
      </c>
      <c r="M22" s="55">
        <v>38.395400000000002</v>
      </c>
      <c r="Q22" s="55">
        <v>5.3</v>
      </c>
      <c r="R22" s="55">
        <v>0.94399999999999995</v>
      </c>
      <c r="S22" s="55">
        <v>148.87272727272727</v>
      </c>
      <c r="T22" s="55">
        <v>3.75</v>
      </c>
    </row>
    <row r="23" spans="1:20">
      <c r="H23" s="56"/>
      <c r="I23" s="57"/>
      <c r="J23" s="57"/>
      <c r="K23" s="57"/>
      <c r="L23" s="57">
        <f>AVERAGE(L18:L22)</f>
        <v>1.1116666666666666</v>
      </c>
      <c r="M23" s="57">
        <f>AVERAGE(M18:M22)/M17</f>
        <v>0.84958899099346219</v>
      </c>
      <c r="N23" s="57"/>
      <c r="O23" s="57"/>
      <c r="P23" s="57"/>
      <c r="Q23" s="5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G8"/>
  <sheetViews>
    <sheetView zoomScale="85" zoomScaleNormal="85" workbookViewId="0">
      <selection activeCell="E2" sqref="E2"/>
    </sheetView>
  </sheetViews>
  <sheetFormatPr defaultColWidth="14" defaultRowHeight="33" customHeight="1"/>
  <cols>
    <col min="1" max="1" width="6.54296875" style="43" customWidth="1"/>
    <col min="2" max="16384" width="14" style="43"/>
  </cols>
  <sheetData>
    <row r="1" spans="2:7" ht="33" customHeight="1">
      <c r="E1" s="73" t="s">
        <v>172</v>
      </c>
      <c r="F1" s="73"/>
      <c r="G1" s="73"/>
    </row>
    <row r="2" spans="2:7" ht="33" customHeight="1">
      <c r="B2" s="45" t="s">
        <v>14</v>
      </c>
      <c r="C2" s="46" t="s">
        <v>167</v>
      </c>
      <c r="D2" s="46" t="s">
        <v>168</v>
      </c>
      <c r="E2" s="46" t="s">
        <v>169</v>
      </c>
      <c r="F2" s="46" t="s">
        <v>170</v>
      </c>
      <c r="G2" s="47" t="s">
        <v>171</v>
      </c>
    </row>
    <row r="3" spans="2:7" ht="33" customHeight="1">
      <c r="B3" s="45">
        <v>1</v>
      </c>
      <c r="C3" s="44"/>
      <c r="D3" s="44"/>
      <c r="E3" s="44"/>
      <c r="F3" s="44"/>
      <c r="G3" s="44"/>
    </row>
    <row r="4" spans="2:7" ht="33" customHeight="1">
      <c r="B4" s="45">
        <v>2</v>
      </c>
      <c r="C4" s="44"/>
      <c r="D4" s="44"/>
      <c r="E4" s="44"/>
      <c r="F4" s="44"/>
      <c r="G4" s="44"/>
    </row>
    <row r="5" spans="2:7" ht="33" customHeight="1">
      <c r="B5" s="45">
        <v>3</v>
      </c>
      <c r="C5" s="44"/>
      <c r="D5" s="44"/>
      <c r="E5" s="44"/>
      <c r="F5" s="44"/>
      <c r="G5" s="44"/>
    </row>
    <row r="6" spans="2:7" ht="33" customHeight="1">
      <c r="B6" s="45">
        <v>4</v>
      </c>
      <c r="C6" s="44"/>
      <c r="D6" s="44"/>
      <c r="E6" s="44"/>
      <c r="F6" s="44"/>
      <c r="G6" s="44"/>
    </row>
    <row r="7" spans="2:7" ht="33" customHeight="1">
      <c r="B7" s="45">
        <v>5</v>
      </c>
      <c r="C7" s="44"/>
      <c r="D7" s="44"/>
      <c r="E7" s="44"/>
      <c r="F7" s="44"/>
      <c r="G7" s="44"/>
    </row>
    <row r="8" spans="2:7" ht="33" customHeight="1">
      <c r="B8" s="45">
        <v>6</v>
      </c>
      <c r="C8" s="44"/>
      <c r="D8" s="44"/>
      <c r="E8" s="44"/>
      <c r="F8" s="44"/>
      <c r="G8" s="44"/>
    </row>
  </sheetData>
  <mergeCells count="1">
    <mergeCell ref="E1:G1"/>
  </mergeCell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8"/>
  <sheetViews>
    <sheetView tabSelected="1" topLeftCell="A10" workbookViewId="0">
      <selection activeCell="E16" sqref="E16"/>
    </sheetView>
  </sheetViews>
  <sheetFormatPr defaultRowHeight="14.5"/>
  <cols>
    <col min="1" max="1" width="29.6328125" style="5" customWidth="1"/>
    <col min="2" max="2" width="10.6328125" style="5" customWidth="1"/>
    <col min="3" max="4" width="10.36328125" style="5" bestFit="1" customWidth="1"/>
    <col min="5" max="5" width="8.7265625" style="5"/>
    <col min="6" max="6" width="30" style="5" customWidth="1"/>
    <col min="7" max="7" width="9.26953125" style="5" customWidth="1"/>
    <col min="8" max="8" width="10.54296875" style="5" customWidth="1"/>
    <col min="9" max="9" width="9.453125" style="5" bestFit="1" customWidth="1"/>
    <col min="10" max="11" width="8.7265625" style="5"/>
    <col min="12" max="12" width="12.90625" style="5" bestFit="1" customWidth="1"/>
    <col min="13" max="13" width="21.81640625" style="5" bestFit="1" customWidth="1"/>
    <col min="14" max="14" width="11.453125" style="5" customWidth="1"/>
    <col min="15" max="15" width="14" style="5" customWidth="1"/>
    <col min="16" max="16384" width="8.7265625" style="5"/>
  </cols>
  <sheetData>
    <row r="1" spans="1:15">
      <c r="A1" s="75" t="s">
        <v>206</v>
      </c>
      <c r="B1" s="75"/>
      <c r="F1" s="74" t="s">
        <v>234</v>
      </c>
      <c r="G1" s="74"/>
      <c r="H1" s="74"/>
      <c r="L1" s="75" t="s">
        <v>306</v>
      </c>
      <c r="M1" s="75"/>
      <c r="N1" s="75"/>
      <c r="O1" s="75"/>
    </row>
    <row r="2" spans="1:15" ht="29">
      <c r="A2" s="58" t="s">
        <v>204</v>
      </c>
      <c r="B2" s="58" t="s">
        <v>211</v>
      </c>
      <c r="C2" s="58" t="s">
        <v>205</v>
      </c>
      <c r="F2" s="58" t="s">
        <v>204</v>
      </c>
      <c r="G2" s="58" t="s">
        <v>211</v>
      </c>
      <c r="H2" s="58" t="s">
        <v>205</v>
      </c>
      <c r="L2" s="68"/>
      <c r="M2" s="58" t="s">
        <v>204</v>
      </c>
      <c r="N2" s="58" t="s">
        <v>273</v>
      </c>
      <c r="O2" s="58" t="s">
        <v>205</v>
      </c>
    </row>
    <row r="3" spans="1:15">
      <c r="A3" s="58" t="s">
        <v>218</v>
      </c>
      <c r="B3" s="58" t="s">
        <v>216</v>
      </c>
      <c r="C3" s="58">
        <v>23.7</v>
      </c>
      <c r="F3" s="58" t="s">
        <v>235</v>
      </c>
      <c r="G3" s="58" t="s">
        <v>198</v>
      </c>
      <c r="H3" s="58">
        <v>18.32</v>
      </c>
      <c r="L3" s="69" t="s">
        <v>274</v>
      </c>
      <c r="M3" s="69" t="s">
        <v>275</v>
      </c>
      <c r="N3" s="69" t="s">
        <v>276</v>
      </c>
      <c r="O3" s="69">
        <f>'costi campo 2'!I2</f>
        <v>176</v>
      </c>
    </row>
    <row r="4" spans="1:15">
      <c r="A4" s="58" t="s">
        <v>219</v>
      </c>
      <c r="B4" s="58" t="s">
        <v>217</v>
      </c>
      <c r="C4" s="58">
        <v>800</v>
      </c>
      <c r="F4" s="58" t="s">
        <v>236</v>
      </c>
      <c r="G4" s="58" t="s">
        <v>198</v>
      </c>
      <c r="H4" s="58">
        <v>17.670000000000002</v>
      </c>
      <c r="L4" s="76" t="s">
        <v>277</v>
      </c>
      <c r="M4" s="69" t="s">
        <v>278</v>
      </c>
      <c r="N4" s="69" t="s">
        <v>69</v>
      </c>
      <c r="O4" s="70">
        <f>'costi campo 2'!D2</f>
        <v>250000</v>
      </c>
    </row>
    <row r="5" spans="1:15">
      <c r="A5" s="58" t="s">
        <v>220</v>
      </c>
      <c r="B5" s="58" t="s">
        <v>217</v>
      </c>
      <c r="C5" s="58">
        <v>420</v>
      </c>
      <c r="F5" s="58" t="s">
        <v>237</v>
      </c>
      <c r="G5" s="58" t="s">
        <v>198</v>
      </c>
      <c r="H5" s="58">
        <f>H3-2.27</f>
        <v>16.05</v>
      </c>
      <c r="L5" s="76"/>
      <c r="M5" s="69" t="s">
        <v>279</v>
      </c>
      <c r="N5" s="69" t="s">
        <v>280</v>
      </c>
      <c r="O5" s="70">
        <f>'costi campo 2'!D3</f>
        <v>10</v>
      </c>
    </row>
    <row r="6" spans="1:15">
      <c r="A6" s="58" t="s">
        <v>221</v>
      </c>
      <c r="B6" s="58" t="s">
        <v>216</v>
      </c>
      <c r="C6" s="58">
        <v>5</v>
      </c>
      <c r="L6" s="76"/>
      <c r="M6" s="69" t="s">
        <v>279</v>
      </c>
      <c r="N6" s="69" t="s">
        <v>74</v>
      </c>
      <c r="O6" s="70">
        <f>'costi campo 2'!D4</f>
        <v>3000</v>
      </c>
    </row>
    <row r="7" spans="1:15">
      <c r="A7" s="58" t="s">
        <v>222</v>
      </c>
      <c r="B7" s="58" t="s">
        <v>216</v>
      </c>
      <c r="C7" s="58">
        <v>4</v>
      </c>
      <c r="L7" s="76"/>
      <c r="M7" s="69" t="s">
        <v>281</v>
      </c>
      <c r="N7" s="69" t="s">
        <v>79</v>
      </c>
      <c r="O7" s="71">
        <f>'costi campo 2'!D6</f>
        <v>19</v>
      </c>
    </row>
    <row r="8" spans="1:15">
      <c r="L8" s="76"/>
      <c r="M8" s="69" t="s">
        <v>281</v>
      </c>
      <c r="N8" s="69" t="s">
        <v>69</v>
      </c>
      <c r="O8" s="71">
        <f>'costi campo 2'!D7</f>
        <v>47500</v>
      </c>
    </row>
    <row r="9" spans="1:15">
      <c r="A9" s="74" t="s">
        <v>207</v>
      </c>
      <c r="B9" s="74"/>
      <c r="C9" s="74"/>
      <c r="D9" s="74"/>
      <c r="F9" s="75" t="s">
        <v>238</v>
      </c>
      <c r="G9" s="75"/>
      <c r="H9" s="75"/>
      <c r="I9" s="59"/>
      <c r="L9" s="76"/>
      <c r="M9" s="69" t="s">
        <v>282</v>
      </c>
      <c r="N9" s="69" t="s">
        <v>69</v>
      </c>
      <c r="O9" s="71">
        <f>'costi campo 2'!D8</f>
        <v>202500</v>
      </c>
    </row>
    <row r="10" spans="1:15" ht="29">
      <c r="A10" s="58" t="s">
        <v>204</v>
      </c>
      <c r="B10" s="58" t="s">
        <v>211</v>
      </c>
      <c r="C10" s="58" t="s">
        <v>209</v>
      </c>
      <c r="D10" s="58" t="s">
        <v>208</v>
      </c>
      <c r="F10" s="58" t="s">
        <v>204</v>
      </c>
      <c r="G10" s="58" t="s">
        <v>211</v>
      </c>
      <c r="H10" s="58" t="s">
        <v>239</v>
      </c>
      <c r="I10" s="58" t="s">
        <v>205</v>
      </c>
      <c r="L10" s="76"/>
      <c r="M10" s="69" t="s">
        <v>283</v>
      </c>
      <c r="N10" s="69" t="s">
        <v>284</v>
      </c>
      <c r="O10" s="70">
        <f>'costi campo 2'!D9</f>
        <v>312</v>
      </c>
    </row>
    <row r="11" spans="1:15" ht="16">
      <c r="A11" s="58" t="s">
        <v>212</v>
      </c>
      <c r="B11" s="58" t="s">
        <v>223</v>
      </c>
      <c r="C11" s="60">
        <f>AVERAGE('plot biomassa'!$I$38,'plot biomassa'!$S$36,'plot biomassa'!$B$72,'plot biomassa'!$I$72,'plot biomassa'!$S$73)/9*10000</f>
        <v>22666.666666666668</v>
      </c>
      <c r="D11" s="60">
        <f>STDEV('plot biomassa'!$I$38,'plot biomassa'!$S$36,'plot biomassa'!$B$72,'plot biomassa'!$I$72,'plot biomassa'!$S$73)/9*10000</f>
        <v>1685.0834320114391</v>
      </c>
      <c r="F11" s="58" t="s">
        <v>240</v>
      </c>
      <c r="G11" s="58" t="s">
        <v>241</v>
      </c>
      <c r="H11" s="64" t="s">
        <v>244</v>
      </c>
      <c r="I11" s="62">
        <v>14.26</v>
      </c>
      <c r="L11" s="76"/>
      <c r="M11" s="69" t="s">
        <v>285</v>
      </c>
      <c r="N11" s="69" t="s">
        <v>79</v>
      </c>
      <c r="O11" s="71">
        <f>'costi campo 2'!D10</f>
        <v>3</v>
      </c>
    </row>
    <row r="12" spans="1:15" ht="16">
      <c r="A12" s="58" t="s">
        <v>213</v>
      </c>
      <c r="B12" s="58" t="s">
        <v>163</v>
      </c>
      <c r="C12" s="60">
        <f>AVERAGE('plot biomassa'!K82:K183)</f>
        <v>146.75490196078431</v>
      </c>
      <c r="D12" s="60">
        <f>STDEV('plot biomassa'!K82:K183)</f>
        <v>111.17539761628383</v>
      </c>
      <c r="F12" s="58" t="s">
        <v>242</v>
      </c>
      <c r="G12" s="58" t="s">
        <v>227</v>
      </c>
      <c r="H12" s="58">
        <v>17.670000000000002</v>
      </c>
      <c r="I12" s="62">
        <f>I11/H4</f>
        <v>0.80701754385964908</v>
      </c>
      <c r="L12" s="76" t="s">
        <v>286</v>
      </c>
      <c r="M12" s="69" t="s">
        <v>287</v>
      </c>
      <c r="N12" s="69" t="s">
        <v>288</v>
      </c>
      <c r="O12" s="71">
        <f>'costi campo 2'!D14</f>
        <v>20250</v>
      </c>
    </row>
    <row r="13" spans="1:15" ht="29">
      <c r="A13" s="58" t="s">
        <v>214</v>
      </c>
      <c r="B13" s="58" t="s">
        <v>34</v>
      </c>
      <c r="C13" s="61">
        <f>AVERAGE('plot biomassa'!$M$82:$M$183)</f>
        <v>7.3627450980392153</v>
      </c>
      <c r="D13" s="61">
        <f>STDEV('plot biomassa'!$M$82:$M$183)</f>
        <v>4.2046396242752166</v>
      </c>
      <c r="F13" s="58" t="s">
        <v>243</v>
      </c>
      <c r="G13" s="58" t="s">
        <v>227</v>
      </c>
      <c r="H13" s="58">
        <f>H5</f>
        <v>16.05</v>
      </c>
      <c r="I13" s="62">
        <f>I11/H13</f>
        <v>0.8884735202492211</v>
      </c>
      <c r="L13" s="76"/>
      <c r="M13" s="69" t="s">
        <v>289</v>
      </c>
      <c r="N13" s="69" t="s">
        <v>288</v>
      </c>
      <c r="O13" s="71">
        <f>'costi campo 2'!D15</f>
        <v>4462.5</v>
      </c>
    </row>
    <row r="14" spans="1:15" ht="16">
      <c r="A14" s="58" t="s">
        <v>215</v>
      </c>
      <c r="B14" s="58" t="s">
        <v>163</v>
      </c>
      <c r="C14" s="60">
        <f>AVERAGE('plot biomassa'!U5:U9)</f>
        <v>126.30597402597402</v>
      </c>
      <c r="D14" s="60">
        <f>STDEV('plot biomassa'!U5:U9)</f>
        <v>12.755285165649866</v>
      </c>
      <c r="F14" s="58" t="s">
        <v>271</v>
      </c>
      <c r="G14" s="58" t="s">
        <v>272</v>
      </c>
      <c r="H14" s="65">
        <f>AVERAGE('settaggi trebbia'!$G$13:$G$17)/1000</f>
        <v>0.64373601789709178</v>
      </c>
      <c r="I14" s="65">
        <f>STDEV('settaggi trebbia'!$G$13:$G$17)/1000</f>
        <v>1.3636035457048366E-2</v>
      </c>
      <c r="L14" s="76"/>
      <c r="M14" s="69" t="s">
        <v>290</v>
      </c>
      <c r="N14" s="69" t="s">
        <v>291</v>
      </c>
      <c r="O14" s="71">
        <f>'costi campo 2'!D16</f>
        <v>22.08</v>
      </c>
    </row>
    <row r="15" spans="1:15" ht="16">
      <c r="A15" s="58" t="s">
        <v>224</v>
      </c>
      <c r="B15" s="58" t="s">
        <v>256</v>
      </c>
      <c r="C15" s="61">
        <f>AVERAGE('plot biomassa'!$O$82:$O$86)</f>
        <v>6.6817741967954261</v>
      </c>
      <c r="D15" s="61">
        <f>STDEV('plot biomassa'!$O$82:$O$86)</f>
        <v>0.66830832913330585</v>
      </c>
      <c r="L15" s="76"/>
      <c r="M15" s="69" t="s">
        <v>292</v>
      </c>
      <c r="N15" s="69" t="s">
        <v>293</v>
      </c>
      <c r="O15" s="71">
        <f>'costi campo 2'!D17</f>
        <v>100</v>
      </c>
    </row>
    <row r="16" spans="1:15" ht="16">
      <c r="A16" s="58" t="s">
        <v>225</v>
      </c>
      <c r="B16" s="58" t="s">
        <v>256</v>
      </c>
      <c r="C16" s="62">
        <f>AVERAGE('plot biomassa'!$Y$5:$Y$9)</f>
        <v>37.166119999999999</v>
      </c>
      <c r="D16" s="62">
        <f>STDEV('plot biomassa'!$Y$5:$Y$9)</f>
        <v>1.1982827512735581</v>
      </c>
      <c r="F16" s="74" t="s">
        <v>245</v>
      </c>
      <c r="G16" s="74"/>
      <c r="H16" s="74"/>
      <c r="L16" s="76"/>
      <c r="M16" s="69" t="s">
        <v>292</v>
      </c>
      <c r="N16" s="69" t="s">
        <v>288</v>
      </c>
      <c r="O16" s="71">
        <f>'costi campo 2'!D18</f>
        <v>44.160000000000004</v>
      </c>
    </row>
    <row r="17" spans="1:15" ht="29">
      <c r="A17" s="58" t="s">
        <v>254</v>
      </c>
      <c r="B17" s="58" t="s">
        <v>255</v>
      </c>
      <c r="C17" s="62">
        <f>AVERAGE('plot biomassa'!$Q$82:$Q$86)/1000</f>
        <v>6.2511111111111113</v>
      </c>
      <c r="D17" s="62">
        <f>STDEV('plot biomassa'!$Q$82:$Q$86)/1000</f>
        <v>2.8584140470193469</v>
      </c>
      <c r="F17" s="58" t="s">
        <v>204</v>
      </c>
      <c r="G17" s="58" t="s">
        <v>211</v>
      </c>
      <c r="H17" s="58" t="s">
        <v>209</v>
      </c>
      <c r="I17" s="58" t="s">
        <v>208</v>
      </c>
      <c r="L17" s="76"/>
      <c r="M17" s="69" t="s">
        <v>294</v>
      </c>
      <c r="N17" s="69" t="s">
        <v>288</v>
      </c>
      <c r="O17" s="71">
        <f>'costi campo 2'!D19</f>
        <v>625</v>
      </c>
    </row>
    <row r="18" spans="1:15" ht="16">
      <c r="A18" s="58" t="s">
        <v>226</v>
      </c>
      <c r="B18" s="58" t="s">
        <v>255</v>
      </c>
      <c r="C18" s="62">
        <f>AVERAGE('plot biomassa'!$X$5:$X$9)</f>
        <v>1.1116666666666666</v>
      </c>
      <c r="D18" s="62">
        <f>STDEV('plot biomassa'!$X$5:$X$9)</f>
        <v>0.13808641506206062</v>
      </c>
      <c r="F18" s="58" t="s">
        <v>246</v>
      </c>
      <c r="G18" s="58" t="s">
        <v>251</v>
      </c>
      <c r="H18" s="62">
        <f>tempi!B34</f>
        <v>4.9203084790465041</v>
      </c>
      <c r="I18" s="62">
        <f>tempi!C34</f>
        <v>0.87019359850463884</v>
      </c>
      <c r="L18" s="76" t="s">
        <v>295</v>
      </c>
      <c r="M18" s="69" t="s">
        <v>296</v>
      </c>
      <c r="N18" s="69" t="s">
        <v>79</v>
      </c>
      <c r="O18" s="69">
        <f>'costi campo 2'!D24</f>
        <v>40</v>
      </c>
    </row>
    <row r="19" spans="1:15" ht="16">
      <c r="A19" s="58" t="s">
        <v>257</v>
      </c>
      <c r="B19" s="64" t="s">
        <v>244</v>
      </c>
      <c r="C19" s="62">
        <f>AVERAGE('plot biomassa'!$S$82:$S$86)</f>
        <v>0.20083382368413366</v>
      </c>
      <c r="D19" s="62">
        <f>STDEV('plot biomassa'!$S$82:$S$86)</f>
        <v>6.8721678256795038E-2</v>
      </c>
      <c r="F19" s="58" t="s">
        <v>247</v>
      </c>
      <c r="G19" s="58" t="s">
        <v>252</v>
      </c>
      <c r="H19" s="62">
        <f>tempi!B35</f>
        <v>2.3617480699423217</v>
      </c>
      <c r="I19" s="62">
        <f>tempi!C35</f>
        <v>0.41769292728223051</v>
      </c>
      <c r="L19" s="76"/>
      <c r="M19" s="69" t="s">
        <v>297</v>
      </c>
      <c r="N19" s="69" t="s">
        <v>298</v>
      </c>
      <c r="O19" s="71">
        <f>'costi campo 2'!D25</f>
        <v>34.666666666666671</v>
      </c>
    </row>
    <row r="20" spans="1:15" ht="16">
      <c r="A20" s="58" t="s">
        <v>231</v>
      </c>
      <c r="B20" s="58" t="s">
        <v>79</v>
      </c>
      <c r="C20" s="63">
        <f>AVERAGE(umidità!$D$17:$D$22)</f>
        <v>5.8212739187447848E-2</v>
      </c>
      <c r="D20" s="63">
        <f>STDEV(umidità!$D$17:$D$22)</f>
        <v>3.3381648650059092E-4</v>
      </c>
      <c r="F20" s="58" t="s">
        <v>248</v>
      </c>
      <c r="G20" s="58" t="s">
        <v>252</v>
      </c>
      <c r="H20" s="62">
        <f>tempi!B36</f>
        <v>2.0531496337489594</v>
      </c>
      <c r="I20" s="62">
        <f>tempi!C36</f>
        <v>0.33251541594362055</v>
      </c>
      <c r="L20" s="76"/>
      <c r="M20" s="69" t="s">
        <v>299</v>
      </c>
      <c r="N20" s="69" t="s">
        <v>300</v>
      </c>
      <c r="O20" s="71">
        <f>'costi campo 2'!D26</f>
        <v>0.56999999999999995</v>
      </c>
    </row>
    <row r="21" spans="1:15" ht="16">
      <c r="A21" s="58" t="s">
        <v>232</v>
      </c>
      <c r="B21" s="58" t="s">
        <v>79</v>
      </c>
      <c r="C21" s="63">
        <f>AVERAGE(umidità!$D$4,umidità!$D$6,umidità!$D$8,umidità!$D$10,umidità!$D$12)</f>
        <v>0.14077743447635171</v>
      </c>
      <c r="D21" s="63">
        <f>STDEV(umidità!$D$4,umidità!$D$6,umidità!$D$8,umidità!$D$10,umidità!$D$12)</f>
        <v>1.6660948822798595E-2</v>
      </c>
      <c r="F21" s="58" t="s">
        <v>250</v>
      </c>
      <c r="G21" s="58" t="s">
        <v>79</v>
      </c>
      <c r="H21" s="63">
        <f>tempi!B37</f>
        <v>0.87244410165708974</v>
      </c>
      <c r="I21" s="63">
        <f>tempi!C37</f>
        <v>4.1327604186236641E-2</v>
      </c>
      <c r="L21" s="76"/>
      <c r="M21" s="69" t="s">
        <v>301</v>
      </c>
      <c r="N21" s="69" t="s">
        <v>302</v>
      </c>
      <c r="O21" s="71">
        <f>'costi campo 2'!D27</f>
        <v>25</v>
      </c>
    </row>
    <row r="22" spans="1:15" ht="16">
      <c r="A22" s="58" t="s">
        <v>233</v>
      </c>
      <c r="B22" s="58" t="s">
        <v>79</v>
      </c>
      <c r="C22" s="63">
        <f>AVERAGE(umidità!$D$5,umidità!$D$7,umidità!$D$9,umidità!$D$11,umidità!$D$13)</f>
        <v>0.43999122745880898</v>
      </c>
      <c r="D22" s="63">
        <f>STDEV(umidità!$D$5,umidità!$D$7,umidità!$D$9,umidità!$D$11,umidità!$D$13)</f>
        <v>0.15903225134008622</v>
      </c>
      <c r="F22" s="58" t="s">
        <v>249</v>
      </c>
      <c r="G22" s="58" t="s">
        <v>253</v>
      </c>
      <c r="H22" s="62">
        <f>tempi!B38</f>
        <v>1.8241690826953367</v>
      </c>
      <c r="I22" s="62">
        <f>tempi!C38</f>
        <v>0.29543114214056582</v>
      </c>
      <c r="L22" s="76"/>
      <c r="M22" s="69" t="s">
        <v>299</v>
      </c>
      <c r="N22" s="69" t="s">
        <v>298</v>
      </c>
      <c r="O22" s="71">
        <f>'costi campo 2'!D28</f>
        <v>14.249999999999998</v>
      </c>
    </row>
    <row r="23" spans="1:15" ht="16">
      <c r="L23" s="76"/>
      <c r="M23" s="69" t="s">
        <v>303</v>
      </c>
      <c r="N23" s="69" t="s">
        <v>300</v>
      </c>
      <c r="O23" s="71">
        <f>'costi campo 2'!D29</f>
        <v>3.0249999999999999</v>
      </c>
    </row>
    <row r="24" spans="1:15" ht="16">
      <c r="F24" s="74" t="s">
        <v>258</v>
      </c>
      <c r="G24" s="74"/>
      <c r="H24" s="74"/>
      <c r="L24" s="76"/>
      <c r="M24" s="69" t="s">
        <v>304</v>
      </c>
      <c r="N24" s="69" t="s">
        <v>302</v>
      </c>
      <c r="O24" s="71">
        <f>'costi campo 2'!D30</f>
        <v>0.32074000000000003</v>
      </c>
    </row>
    <row r="25" spans="1:15" ht="29">
      <c r="F25" s="58" t="s">
        <v>204</v>
      </c>
      <c r="G25" s="58" t="s">
        <v>211</v>
      </c>
      <c r="H25" s="58" t="s">
        <v>205</v>
      </c>
      <c r="L25" s="76"/>
      <c r="M25" s="69" t="s">
        <v>303</v>
      </c>
      <c r="N25" s="69" t="s">
        <v>298</v>
      </c>
      <c r="O25" s="71">
        <f>'costi campo 2'!D31</f>
        <v>0.9702385</v>
      </c>
    </row>
    <row r="26" spans="1:15" ht="16">
      <c r="F26" s="58" t="s">
        <v>259</v>
      </c>
      <c r="G26" s="58" t="s">
        <v>262</v>
      </c>
      <c r="H26" s="62">
        <f>'costi campo 2'!D35</f>
        <v>142.73837952564102</v>
      </c>
      <c r="L26" s="76"/>
      <c r="M26" s="69" t="s">
        <v>305</v>
      </c>
      <c r="N26" s="69" t="s">
        <v>298</v>
      </c>
      <c r="O26" s="71">
        <f>'costi campo 2'!D32</f>
        <v>11.5</v>
      </c>
    </row>
    <row r="27" spans="1:15" ht="16">
      <c r="F27" s="58" t="s">
        <v>260</v>
      </c>
      <c r="G27" s="58" t="s">
        <v>263</v>
      </c>
      <c r="H27" s="62">
        <f>'costi campo 2'!D38</f>
        <v>69.521664266138814</v>
      </c>
    </row>
    <row r="28" spans="1:15" ht="16">
      <c r="F28" s="58" t="s">
        <v>261</v>
      </c>
      <c r="G28" s="58" t="s">
        <v>264</v>
      </c>
      <c r="H28" s="62">
        <f>'costi campo 2'!D39</f>
        <v>78.248436989588228</v>
      </c>
    </row>
    <row r="29" spans="1:15">
      <c r="F29" s="66"/>
      <c r="G29" s="66"/>
      <c r="H29" s="67"/>
    </row>
    <row r="31" spans="1:15">
      <c r="F31" s="75" t="s">
        <v>177</v>
      </c>
      <c r="G31" s="75"/>
      <c r="H31" s="75"/>
      <c r="I31" s="75"/>
    </row>
    <row r="32" spans="1:15" ht="29">
      <c r="F32" s="58" t="s">
        <v>204</v>
      </c>
      <c r="G32" s="58" t="s">
        <v>211</v>
      </c>
      <c r="H32" s="58" t="s">
        <v>209</v>
      </c>
      <c r="I32" s="58" t="s">
        <v>208</v>
      </c>
    </row>
    <row r="33" spans="6:9" ht="16">
      <c r="F33" s="58" t="s">
        <v>308</v>
      </c>
      <c r="G33" s="58" t="s">
        <v>266</v>
      </c>
      <c r="H33" s="62">
        <f>AVERAGE('plot biomassa'!$AF$4:$AF$13)</f>
        <v>28.718884120171673</v>
      </c>
      <c r="I33" s="62">
        <f>STDEV('plot biomassa'!$AF$4:$AF$13)</f>
        <v>17.132706885985513</v>
      </c>
    </row>
    <row r="34" spans="6:9">
      <c r="F34" s="58" t="s">
        <v>308</v>
      </c>
      <c r="G34" s="58" t="s">
        <v>79</v>
      </c>
      <c r="H34" s="63">
        <f>(H33/1000)/C18</f>
        <v>2.5834078668820096E-2</v>
      </c>
      <c r="I34" s="63">
        <f>(I33/1000)/C18</f>
        <v>1.5411730332220852E-2</v>
      </c>
    </row>
    <row r="35" spans="6:9" ht="16">
      <c r="F35" s="58" t="s">
        <v>265</v>
      </c>
      <c r="G35" s="58" t="s">
        <v>266</v>
      </c>
      <c r="H35" s="62">
        <f>AVERAGE('plot biomassa'!$AJ$4:$AJ$6)</f>
        <v>6.4399375000000001</v>
      </c>
      <c r="I35" s="62">
        <f>STDEV('plot biomassa'!$AJ$4:$AJ$6)</f>
        <v>3.2024550650193171</v>
      </c>
    </row>
    <row r="36" spans="6:9">
      <c r="F36" s="58" t="s">
        <v>265</v>
      </c>
      <c r="G36" s="58" t="s">
        <v>79</v>
      </c>
      <c r="H36" s="63">
        <f>(H35/1000)/C18</f>
        <v>5.7930472263868077E-3</v>
      </c>
      <c r="I36" s="63">
        <f>(I35/1000)/C18</f>
        <v>2.8807691739304205E-3</v>
      </c>
    </row>
    <row r="37" spans="6:9" ht="16">
      <c r="F37" s="58" t="s">
        <v>309</v>
      </c>
      <c r="G37" s="58" t="s">
        <v>266</v>
      </c>
      <c r="H37" s="62">
        <f>H33+H35</f>
        <v>35.158821620171672</v>
      </c>
      <c r="I37" s="64" t="s">
        <v>244</v>
      </c>
    </row>
    <row r="38" spans="6:9">
      <c r="F38" s="58" t="s">
        <v>309</v>
      </c>
      <c r="G38" s="58" t="s">
        <v>79</v>
      </c>
      <c r="H38" s="63">
        <f>(H37/1000)/C18</f>
        <v>3.1627125895206901E-2</v>
      </c>
      <c r="I38" s="64" t="s">
        <v>244</v>
      </c>
    </row>
  </sheetData>
  <mergeCells count="11">
    <mergeCell ref="A1:B1"/>
    <mergeCell ref="A9:D9"/>
    <mergeCell ref="F1:H1"/>
    <mergeCell ref="F9:H9"/>
    <mergeCell ref="L1:O1"/>
    <mergeCell ref="F16:H16"/>
    <mergeCell ref="F24:H24"/>
    <mergeCell ref="F31:I31"/>
    <mergeCell ref="L4:L11"/>
    <mergeCell ref="L12:L17"/>
    <mergeCell ref="L18:L26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BDCDE9FD7ABA45B482209D7C2F5B59" ma:contentTypeVersion="13" ma:contentTypeDescription="Creare un nuovo documento." ma:contentTypeScope="" ma:versionID="2cdebb560761791ead508a8a134c0919">
  <xsd:schema xmlns:xsd="http://www.w3.org/2001/XMLSchema" xmlns:xs="http://www.w3.org/2001/XMLSchema" xmlns:p="http://schemas.microsoft.com/office/2006/metadata/properties" xmlns:ns3="60367397-3ca3-4a75-9991-b428a405f7fb" xmlns:ns4="924c364c-3d37-4817-a5b1-4a0e43a9aa1c" targetNamespace="http://schemas.microsoft.com/office/2006/metadata/properties" ma:root="true" ma:fieldsID="9186626887893b3fb24d7849e6407ba8" ns3:_="" ns4:_="">
    <xsd:import namespace="60367397-3ca3-4a75-9991-b428a405f7fb"/>
    <xsd:import namespace="924c364c-3d37-4817-a5b1-4a0e43a9aa1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367397-3ca3-4a75-9991-b428a405f7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c364c-3d37-4817-a5b1-4a0e43a9aa1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968830-CB61-4F1D-8B78-DBD0821835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6A9857-F97D-42D1-8A0E-A856560734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367397-3ca3-4a75-9991-b428a405f7fb"/>
    <ds:schemaRef ds:uri="924c364c-3d37-4817-a5b1-4a0e43a9aa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497563-7875-4639-8382-08414E7D870F}">
  <ds:schemaRefs>
    <ds:schemaRef ds:uri="http://schemas.microsoft.com/office/infopath/2007/PartnerControls"/>
    <ds:schemaRef ds:uri="http://www.w3.org/XML/1998/namespace"/>
    <ds:schemaRef ds:uri="924c364c-3d37-4817-a5b1-4a0e43a9aa1c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60367397-3ca3-4a75-9991-b428a405f7fb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settaggi trebbia</vt:lpstr>
      <vt:lpstr>tempi</vt:lpstr>
      <vt:lpstr>costi campo 2</vt:lpstr>
      <vt:lpstr>plot biomassa</vt:lpstr>
      <vt:lpstr>umidità</vt:lpstr>
      <vt:lpstr>tabelle Informatore agrario</vt:lpstr>
      <vt:lpstr>Foglio1</vt:lpstr>
      <vt:lpstr>tabelle per IF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</dc:creator>
  <cp:lastModifiedBy>Francesco Latterini</cp:lastModifiedBy>
  <cp:lastPrinted>2020-09-11T15:48:58Z</cp:lastPrinted>
  <dcterms:created xsi:type="dcterms:W3CDTF">2020-09-03T07:34:46Z</dcterms:created>
  <dcterms:modified xsi:type="dcterms:W3CDTF">2020-09-21T13:31:13Z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0x01010075BDCDE9FD7ABA45B482209D7C2F5B59</vt:lpwstr>
  </property>
</Properties>
</file>